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35" windowHeight="8820" firstSheet="1" activeTab="1"/>
  </bookViews>
  <sheets>
    <sheet name="Титул" sheetId="10" r:id="rId1"/>
    <sheet name="на выход" sheetId="1" r:id="rId2"/>
    <sheet name="сводки БЖУ" sheetId="2" r:id="rId3"/>
    <sheet name="сводки по продуктам" sheetId="5" r:id="rId4"/>
    <sheet name="обьемы по приемам пищи" sheetId="9" r:id="rId5"/>
    <sheet name="библиография" sheetId="7" r:id="rId6"/>
    <sheet name="Лист1" sheetId="8" state="hidden" r:id="rId7"/>
  </sheets>
  <calcPr calcId="125725"/>
</workbook>
</file>

<file path=xl/calcChain.xml><?xml version="1.0" encoding="utf-8"?>
<calcChain xmlns="http://schemas.openxmlformats.org/spreadsheetml/2006/main">
  <c r="I354" i="1"/>
  <c r="H354"/>
  <c r="G354"/>
  <c r="F354"/>
  <c r="E354"/>
  <c r="M35" i="5"/>
  <c r="N35" s="1"/>
  <c r="O35" s="1"/>
  <c r="M34"/>
  <c r="N34" s="1"/>
  <c r="O34" s="1"/>
  <c r="M33"/>
  <c r="N33" s="1"/>
  <c r="O33" s="1"/>
  <c r="M32"/>
  <c r="N32" s="1"/>
  <c r="O32" s="1"/>
  <c r="M31"/>
  <c r="N31" s="1"/>
  <c r="O31" s="1"/>
  <c r="M30"/>
  <c r="N30" s="1"/>
  <c r="O30" s="1"/>
  <c r="M29"/>
  <c r="N29" s="1"/>
  <c r="O29" s="1"/>
  <c r="M28"/>
  <c r="N28" s="1"/>
  <c r="O28" s="1"/>
  <c r="M27"/>
  <c r="N27" s="1"/>
  <c r="O27" s="1"/>
  <c r="M26"/>
  <c r="N26" s="1"/>
  <c r="O26" s="1"/>
  <c r="M25"/>
  <c r="N25" s="1"/>
  <c r="O25" s="1"/>
  <c r="M24"/>
  <c r="N24" s="1"/>
  <c r="O24" s="1"/>
  <c r="M23"/>
  <c r="N23" s="1"/>
  <c r="O23" s="1"/>
  <c r="M22"/>
  <c r="N22" s="1"/>
  <c r="O22" s="1"/>
  <c r="M21"/>
  <c r="N21" s="1"/>
  <c r="O21" s="1"/>
  <c r="M20"/>
  <c r="N20" s="1"/>
  <c r="O20" s="1"/>
  <c r="M19"/>
  <c r="N19" s="1"/>
  <c r="O19" s="1"/>
  <c r="M18"/>
  <c r="N18" s="1"/>
  <c r="O18" s="1"/>
  <c r="M17"/>
  <c r="N17" s="1"/>
  <c r="O17" s="1"/>
  <c r="M16"/>
  <c r="N16" s="1"/>
  <c r="O16" s="1"/>
  <c r="M15"/>
  <c r="N15" s="1"/>
  <c r="O15" s="1"/>
  <c r="M14"/>
  <c r="N14" s="1"/>
  <c r="O14" s="1"/>
  <c r="M13"/>
  <c r="N13" s="1"/>
  <c r="O13" s="1"/>
  <c r="M12"/>
  <c r="N12" s="1"/>
  <c r="O12" s="1"/>
  <c r="M11"/>
  <c r="N11" s="1"/>
  <c r="O11" s="1"/>
  <c r="M10"/>
  <c r="N10" s="1"/>
  <c r="O10" s="1"/>
  <c r="M9"/>
  <c r="N9" s="1"/>
  <c r="O9" s="1"/>
  <c r="N8"/>
  <c r="O8" s="1"/>
  <c r="M8"/>
  <c r="M7"/>
  <c r="N7" s="1"/>
  <c r="O7" s="1"/>
  <c r="I67" i="1"/>
  <c r="H67"/>
  <c r="G67"/>
  <c r="F67"/>
  <c r="E67"/>
  <c r="I14"/>
  <c r="H14"/>
  <c r="G14"/>
  <c r="F14"/>
  <c r="E14"/>
  <c r="I78" l="1"/>
  <c r="H78"/>
  <c r="G78"/>
  <c r="F78"/>
  <c r="E78"/>
  <c r="I330"/>
  <c r="H330"/>
  <c r="G330"/>
  <c r="F330"/>
  <c r="E330"/>
  <c r="I304"/>
  <c r="H304"/>
  <c r="G304"/>
  <c r="F304"/>
  <c r="E304"/>
  <c r="I264"/>
  <c r="H264"/>
  <c r="G264"/>
  <c r="F264"/>
  <c r="E264"/>
  <c r="I185"/>
  <c r="H185"/>
  <c r="G185"/>
  <c r="F185"/>
  <c r="E185"/>
  <c r="D185"/>
  <c r="I106"/>
  <c r="H106"/>
  <c r="G106"/>
  <c r="F106"/>
  <c r="E106"/>
  <c r="I346"/>
  <c r="H346"/>
  <c r="G346"/>
  <c r="F346"/>
  <c r="E346"/>
  <c r="D346"/>
  <c r="I189"/>
  <c r="H189"/>
  <c r="G189"/>
  <c r="F189"/>
  <c r="E189"/>
  <c r="D189"/>
  <c r="I150"/>
  <c r="H150"/>
  <c r="G150"/>
  <c r="F150"/>
  <c r="E150"/>
  <c r="D150"/>
  <c r="I230"/>
  <c r="H230"/>
  <c r="G230"/>
  <c r="F230"/>
  <c r="E230"/>
  <c r="D230"/>
  <c r="I212"/>
  <c r="H212"/>
  <c r="G212"/>
  <c r="F212"/>
  <c r="E212"/>
  <c r="D212"/>
  <c r="I135"/>
  <c r="H135"/>
  <c r="G135"/>
  <c r="F135"/>
  <c r="E135"/>
  <c r="G13" i="9"/>
  <c r="I382" i="1"/>
  <c r="H382"/>
  <c r="G382"/>
  <c r="F382"/>
  <c r="E382"/>
  <c r="I392"/>
  <c r="H392"/>
  <c r="G392"/>
  <c r="F392"/>
  <c r="E392"/>
  <c r="D392"/>
  <c r="I315"/>
  <c r="H315"/>
  <c r="G315"/>
  <c r="F315"/>
  <c r="E315"/>
  <c r="D315"/>
  <c r="I276"/>
  <c r="G276"/>
  <c r="I268"/>
  <c r="H268"/>
  <c r="G268"/>
  <c r="F268"/>
  <c r="E268"/>
  <c r="E276"/>
  <c r="H276"/>
  <c r="F276"/>
  <c r="E225"/>
  <c r="D225"/>
  <c r="I237"/>
  <c r="H237"/>
  <c r="G237"/>
  <c r="F237"/>
  <c r="E237"/>
  <c r="D237"/>
  <c r="I225"/>
  <c r="H225"/>
  <c r="G225"/>
  <c r="F225"/>
  <c r="I196"/>
  <c r="H196"/>
  <c r="G196"/>
  <c r="F196"/>
  <c r="E196"/>
  <c r="D196"/>
  <c r="I157"/>
  <c r="H157"/>
  <c r="G157"/>
  <c r="F157"/>
  <c r="E157"/>
  <c r="I146"/>
  <c r="H146"/>
  <c r="G146"/>
  <c r="F146"/>
  <c r="E146"/>
  <c r="I119"/>
  <c r="H119"/>
  <c r="G119"/>
  <c r="F119"/>
  <c r="E119"/>
  <c r="D119"/>
  <c r="I71"/>
  <c r="H71"/>
  <c r="G71"/>
  <c r="F71"/>
  <c r="E71"/>
  <c r="G40"/>
  <c r="I40"/>
  <c r="H40"/>
  <c r="F40"/>
  <c r="E40"/>
  <c r="D40"/>
  <c r="I32"/>
  <c r="H32"/>
  <c r="G32"/>
  <c r="F32"/>
  <c r="E32"/>
  <c r="D32"/>
  <c r="E370" l="1"/>
  <c r="E342"/>
  <c r="E308"/>
  <c r="E292"/>
  <c r="E252" l="1"/>
  <c r="E173"/>
  <c r="F173"/>
  <c r="G173"/>
  <c r="H173"/>
  <c r="I173"/>
  <c r="E56" l="1"/>
  <c r="D27"/>
  <c r="E27"/>
  <c r="F27"/>
  <c r="G27"/>
  <c r="H27"/>
  <c r="I27"/>
  <c r="D17" l="1"/>
  <c r="D41" s="1"/>
  <c r="F373" l="1"/>
  <c r="G373"/>
  <c r="H373"/>
  <c r="I373"/>
  <c r="E373"/>
  <c r="D373"/>
  <c r="D393" s="1"/>
  <c r="D342" l="1"/>
  <c r="F333"/>
  <c r="G333"/>
  <c r="H333"/>
  <c r="I333"/>
  <c r="E333"/>
  <c r="E355" s="1"/>
  <c r="D333"/>
  <c r="F295"/>
  <c r="G295"/>
  <c r="H295"/>
  <c r="I295"/>
  <c r="E295"/>
  <c r="E316" s="1"/>
  <c r="D295"/>
  <c r="D316" s="1"/>
  <c r="D255"/>
  <c r="D277" s="1"/>
  <c r="F255"/>
  <c r="G255"/>
  <c r="H255"/>
  <c r="I255"/>
  <c r="E255"/>
  <c r="E277" s="1"/>
  <c r="F176"/>
  <c r="G176"/>
  <c r="H176"/>
  <c r="I176"/>
  <c r="E176"/>
  <c r="D176"/>
  <c r="D197" s="1"/>
  <c r="D355" l="1"/>
  <c r="E197"/>
  <c r="E199" s="1"/>
  <c r="E357"/>
  <c r="E318"/>
  <c r="F138"/>
  <c r="G138"/>
  <c r="H138"/>
  <c r="I138"/>
  <c r="E138"/>
  <c r="E158" s="1"/>
  <c r="D138"/>
  <c r="D158" s="1"/>
  <c r="E110"/>
  <c r="F94"/>
  <c r="G94"/>
  <c r="H94"/>
  <c r="I94"/>
  <c r="F97"/>
  <c r="G97"/>
  <c r="H97"/>
  <c r="I97"/>
  <c r="E97"/>
  <c r="D97"/>
  <c r="D120" s="1"/>
  <c r="E94"/>
  <c r="E120" l="1"/>
  <c r="F59"/>
  <c r="G59"/>
  <c r="H59"/>
  <c r="I59"/>
  <c r="E59"/>
  <c r="E79" s="1"/>
  <c r="D59"/>
  <c r="D79" s="1"/>
  <c r="F56"/>
  <c r="G56"/>
  <c r="H56"/>
  <c r="I56"/>
  <c r="G79" l="1"/>
  <c r="F79"/>
  <c r="H79"/>
  <c r="I79"/>
  <c r="E81"/>
  <c r="F215"/>
  <c r="G215"/>
  <c r="H215"/>
  <c r="I215"/>
  <c r="E215"/>
  <c r="E238" s="1"/>
  <c r="D215"/>
  <c r="D238" s="1"/>
  <c r="F17"/>
  <c r="F41" s="1"/>
  <c r="G17"/>
  <c r="G41" s="1"/>
  <c r="H17"/>
  <c r="H41" s="1"/>
  <c r="I17"/>
  <c r="I41" s="1"/>
  <c r="E17"/>
  <c r="E41" s="1"/>
  <c r="E43" l="1"/>
  <c r="G14" i="9" l="1"/>
  <c r="F14"/>
  <c r="E14"/>
  <c r="D14"/>
  <c r="C14"/>
  <c r="F13"/>
  <c r="E13"/>
  <c r="D13"/>
  <c r="C13"/>
  <c r="F12"/>
  <c r="E12"/>
  <c r="D12"/>
  <c r="C12"/>
  <c r="D11"/>
  <c r="C11"/>
  <c r="G10"/>
  <c r="E10"/>
  <c r="D10"/>
  <c r="C10"/>
  <c r="G9"/>
  <c r="E9"/>
  <c r="D9"/>
  <c r="C9"/>
  <c r="G8"/>
  <c r="F8"/>
  <c r="E8"/>
  <c r="D8"/>
  <c r="C8"/>
  <c r="F7"/>
  <c r="E7"/>
  <c r="D7"/>
  <c r="G6"/>
  <c r="F6"/>
  <c r="C6"/>
  <c r="F5"/>
  <c r="E5"/>
  <c r="D5"/>
  <c r="C5"/>
  <c r="G386" i="1" l="1"/>
  <c r="I386"/>
  <c r="I308"/>
  <c r="G11" i="9"/>
  <c r="F11"/>
  <c r="F16" s="1"/>
  <c r="F308" i="1" l="1"/>
  <c r="G308"/>
  <c r="H308"/>
  <c r="E386"/>
  <c r="F386"/>
  <c r="G12" i="9"/>
  <c r="H386" i="1"/>
  <c r="E393" l="1"/>
  <c r="E395" s="1"/>
  <c r="F158"/>
  <c r="G7" i="9"/>
  <c r="G110" i="1"/>
  <c r="H110" l="1"/>
  <c r="G158"/>
  <c r="H158"/>
  <c r="I197"/>
  <c r="H197"/>
  <c r="G197"/>
  <c r="C7" i="9"/>
  <c r="C16" s="1"/>
  <c r="I158" i="1"/>
  <c r="F197"/>
  <c r="F110"/>
  <c r="I110"/>
  <c r="F199" l="1"/>
  <c r="H199"/>
  <c r="G199"/>
  <c r="I199"/>
  <c r="G5" i="9"/>
  <c r="G16" s="1"/>
  <c r="H370" i="1" l="1"/>
  <c r="H393" s="1"/>
  <c r="G370"/>
  <c r="I370"/>
  <c r="F370"/>
  <c r="G393" l="1"/>
  <c r="G395" s="1"/>
  <c r="I393"/>
  <c r="I395" s="1"/>
  <c r="F393"/>
  <c r="F395" s="1"/>
  <c r="H395"/>
  <c r="E240"/>
  <c r="D6" i="9" l="1"/>
  <c r="D16" s="1"/>
  <c r="G8" i="2" l="1"/>
  <c r="I160" i="1"/>
  <c r="F8" i="2"/>
  <c r="H160" i="1"/>
  <c r="E8" i="2"/>
  <c r="G160" i="1"/>
  <c r="D8" i="2"/>
  <c r="F160" i="1"/>
  <c r="G14" i="2"/>
  <c r="E14"/>
  <c r="D14"/>
  <c r="F14"/>
  <c r="C14"/>
  <c r="G120" i="1" l="1"/>
  <c r="I120"/>
  <c r="F120"/>
  <c r="H120"/>
  <c r="G122" l="1"/>
  <c r="F122"/>
  <c r="I122"/>
  <c r="H122"/>
  <c r="D7" i="2"/>
  <c r="E7" l="1"/>
  <c r="G7"/>
  <c r="F7"/>
  <c r="J15" i="8"/>
  <c r="I15"/>
  <c r="I14"/>
  <c r="I13"/>
  <c r="H15"/>
  <c r="H14"/>
  <c r="H13"/>
  <c r="G15"/>
  <c r="G14"/>
  <c r="G13"/>
  <c r="G16" s="1"/>
  <c r="F15"/>
  <c r="F14"/>
  <c r="F13"/>
  <c r="E15"/>
  <c r="E14"/>
  <c r="E13"/>
  <c r="D15"/>
  <c r="C15"/>
  <c r="D14"/>
  <c r="C14"/>
  <c r="D13"/>
  <c r="C13"/>
  <c r="J14"/>
  <c r="J13"/>
  <c r="F16" l="1"/>
  <c r="H16"/>
  <c r="I16"/>
  <c r="J16"/>
  <c r="C16"/>
  <c r="E16"/>
  <c r="D16"/>
  <c r="J7" l="1"/>
  <c r="I7"/>
  <c r="H7"/>
  <c r="G7"/>
  <c r="F7"/>
  <c r="E7"/>
  <c r="D7"/>
  <c r="C7"/>
  <c r="J6"/>
  <c r="I6"/>
  <c r="H6"/>
  <c r="G6"/>
  <c r="F6"/>
  <c r="E6"/>
  <c r="D6"/>
  <c r="C6"/>
  <c r="J5"/>
  <c r="J8" s="1"/>
  <c r="I5"/>
  <c r="I8" s="1"/>
  <c r="H5"/>
  <c r="H8" s="1"/>
  <c r="G5"/>
  <c r="F5"/>
  <c r="F8" s="1"/>
  <c r="E5"/>
  <c r="E8" s="1"/>
  <c r="D5"/>
  <c r="D8" s="1"/>
  <c r="C5"/>
  <c r="C8" s="1"/>
  <c r="G8" l="1"/>
  <c r="C9" i="2"/>
  <c r="F342" i="1"/>
  <c r="F355" s="1"/>
  <c r="G342"/>
  <c r="G355" s="1"/>
  <c r="H342"/>
  <c r="H355" s="1"/>
  <c r="I342"/>
  <c r="I355" s="1"/>
  <c r="F292"/>
  <c r="G292"/>
  <c r="H292"/>
  <c r="I292"/>
  <c r="F252"/>
  <c r="F277" s="1"/>
  <c r="G252"/>
  <c r="G277" s="1"/>
  <c r="H252"/>
  <c r="H277" s="1"/>
  <c r="I252"/>
  <c r="I277" s="1"/>
  <c r="D9" i="2"/>
  <c r="E9"/>
  <c r="F9"/>
  <c r="G9"/>
  <c r="I316" i="1" l="1"/>
  <c r="I318" s="1"/>
  <c r="H316"/>
  <c r="H318" s="1"/>
  <c r="F316"/>
  <c r="F318" s="1"/>
  <c r="G316"/>
  <c r="G318" s="1"/>
  <c r="I357"/>
  <c r="F357"/>
  <c r="E13" i="2"/>
  <c r="H357" i="1"/>
  <c r="E11" i="9"/>
  <c r="G238" i="1"/>
  <c r="I238"/>
  <c r="F238"/>
  <c r="H238"/>
  <c r="E6" i="9"/>
  <c r="F13" i="2"/>
  <c r="D13"/>
  <c r="C5"/>
  <c r="G13" l="1"/>
  <c r="G357" i="1"/>
  <c r="D10" i="2"/>
  <c r="G240" i="1"/>
  <c r="H240"/>
  <c r="I240"/>
  <c r="C8" i="2"/>
  <c r="E160" i="1"/>
  <c r="G5" i="2"/>
  <c r="I43" i="1"/>
  <c r="F5" i="2"/>
  <c r="H43" i="1"/>
  <c r="E5" i="2"/>
  <c r="G43" i="1"/>
  <c r="D5" i="2"/>
  <c r="F43" i="1"/>
  <c r="E16" i="9"/>
  <c r="E10" i="2"/>
  <c r="F10" l="1"/>
  <c r="G10"/>
  <c r="F240" i="1"/>
  <c r="C6" i="2"/>
  <c r="C10" l="1"/>
  <c r="C13" l="1"/>
  <c r="C11" l="1"/>
  <c r="E279" i="1"/>
  <c r="G6" i="2"/>
  <c r="I81" i="1"/>
  <c r="F6" i="2"/>
  <c r="H81" i="1"/>
  <c r="E6" i="2"/>
  <c r="G81" i="1"/>
  <c r="D6" i="2"/>
  <c r="F81" i="1"/>
  <c r="D11" i="2" l="1"/>
  <c r="F279" i="1"/>
  <c r="F11" i="2"/>
  <c r="H279" i="1"/>
  <c r="G11" i="2"/>
  <c r="I279" i="1"/>
  <c r="E11" i="2"/>
  <c r="G279" i="1"/>
  <c r="C12" i="2"/>
  <c r="E122" i="1"/>
  <c r="C7" i="2" l="1"/>
  <c r="F12" l="1"/>
  <c r="E12"/>
  <c r="D12"/>
  <c r="G12"/>
  <c r="G15" l="1"/>
  <c r="D15"/>
  <c r="K6" s="1"/>
  <c r="K7" s="1"/>
  <c r="E15"/>
  <c r="L6" s="1"/>
  <c r="L7" s="1"/>
  <c r="F15" l="1"/>
  <c r="M6" s="1"/>
  <c r="M7" s="1"/>
  <c r="C15"/>
  <c r="J6" l="1"/>
  <c r="J7" s="1"/>
</calcChain>
</file>

<file path=xl/sharedStrings.xml><?xml version="1.0" encoding="utf-8"?>
<sst xmlns="http://schemas.openxmlformats.org/spreadsheetml/2006/main" count="776" uniqueCount="376">
  <si>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</si>
  <si>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</si>
  <si>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</si>
  <si>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</si>
  <si>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</si>
  <si>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Б</t>
  </si>
  <si>
    <t>Ж</t>
  </si>
  <si>
    <t>У</t>
  </si>
  <si>
    <t>С</t>
  </si>
  <si>
    <t>Завтрак</t>
  </si>
  <si>
    <t>Итого</t>
  </si>
  <si>
    <t>Обед</t>
  </si>
  <si>
    <t>Хлеб ржано-пшеничный</t>
  </si>
  <si>
    <t>Итого за 1 день</t>
  </si>
  <si>
    <t>Итого за 2 день</t>
  </si>
  <si>
    <t>Итого за 3 день</t>
  </si>
  <si>
    <t>Итого за 4 день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</si>
  <si>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</si>
  <si>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</si>
  <si>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</si>
  <si>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</si>
  <si>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</si>
  <si>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</si>
  <si>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День недели</t>
  </si>
  <si>
    <t>Энергетическая ценность на 10 дней, (ккал)</t>
  </si>
  <si>
    <t>Всего за 10 дней</t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</si>
  <si>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</si>
  <si>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</si>
  <si>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</si>
  <si>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</si>
  <si>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</si>
  <si>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</si>
  <si>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</si>
  <si>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Итого за весь период</t>
  </si>
  <si>
    <t>Среднее значение за период</t>
  </si>
  <si>
    <t>Компот из свежих плодов (яблок)</t>
  </si>
  <si>
    <t>Какао с молоком</t>
  </si>
  <si>
    <t>Наименование продуктов</t>
  </si>
  <si>
    <t>Мука пшеничная</t>
  </si>
  <si>
    <t>Крупы, бобовые</t>
  </si>
  <si>
    <t>Макаронные изделия</t>
  </si>
  <si>
    <t>Картофель</t>
  </si>
  <si>
    <t>Сыр</t>
  </si>
  <si>
    <t>Масло сливочное</t>
  </si>
  <si>
    <t>Масло растительное</t>
  </si>
  <si>
    <t>Сахар</t>
  </si>
  <si>
    <t>Кондитерские изделия</t>
  </si>
  <si>
    <t>Чай</t>
  </si>
  <si>
    <t>Библиография</t>
  </si>
  <si>
    <t>Суп картофельный с мясными фрикадельками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</si>
  <si>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</si>
  <si>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</si>
  <si>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</si>
  <si>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</si>
  <si>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</si>
  <si>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</si>
  <si>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</si>
  <si>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</si>
  <si>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</si>
  <si>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</si>
  <si>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</si>
  <si>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</si>
  <si>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</si>
  <si>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</si>
  <si>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</si>
  <si>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</si>
  <si>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</si>
  <si>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</si>
  <si>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</si>
  <si>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</si>
  <si>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r>
      <t>Неделя:</t>
    </r>
    <r>
      <rPr>
        <sz val="12"/>
        <color theme="1"/>
        <rFont val="Times New Roman"/>
        <family val="1"/>
        <charset val="204"/>
      </rPr>
      <t xml:space="preserve"> первая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</si>
  <si>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вторая</t>
    </r>
  </si>
  <si>
    <t>Сметана</t>
  </si>
  <si>
    <t>Крахмал</t>
  </si>
  <si>
    <t>Какао-порошок</t>
  </si>
  <si>
    <t xml:space="preserve">Суммарный объем блюд по приемам пищи в соответствии с СанПиН 2.3/2.4.3590-20 </t>
  </si>
  <si>
    <t>Дни недели</t>
  </si>
  <si>
    <t>Второй завтрак</t>
  </si>
  <si>
    <r>
      <t> </t>
    </r>
    <r>
      <rPr>
        <b/>
        <sz val="14"/>
        <color rgb="FF000000"/>
        <rFont val="Times New Roman"/>
        <family val="1"/>
        <charset val="204"/>
      </rPr>
      <t xml:space="preserve">Показатели нормы </t>
    </r>
  </si>
  <si>
    <t>Среднее за 10 дней</t>
  </si>
  <si>
    <t>Ужин</t>
  </si>
  <si>
    <t>Полдник</t>
  </si>
  <si>
    <t>Сдоба обыкновенная</t>
  </si>
  <si>
    <t xml:space="preserve">Бутерброды с сыром </t>
  </si>
  <si>
    <t>Витамин С, мг</t>
  </si>
  <si>
    <t>Плоды свежие (яблоки)</t>
  </si>
  <si>
    <t>Салат из белокочанной капусты</t>
  </si>
  <si>
    <t>Суп крестьянский с крупой(пшено)</t>
  </si>
  <si>
    <t>Компот из сушеных фруктов</t>
  </si>
  <si>
    <t xml:space="preserve">Батон нарезной </t>
  </si>
  <si>
    <t xml:space="preserve">Оладьи </t>
  </si>
  <si>
    <t>Соус молочный сладкий</t>
  </si>
  <si>
    <t>Молоко кипяченое</t>
  </si>
  <si>
    <t>Зразы рыбные с яйцом</t>
  </si>
  <si>
    <t>Рагу из овощей с кашей</t>
  </si>
  <si>
    <t>Бутерброды с маслом</t>
  </si>
  <si>
    <t>Батон нарезной</t>
  </si>
  <si>
    <t>Кофейный напиток с молоком</t>
  </si>
  <si>
    <t>Соки овощные, фруктовые, ягодные (яблочный)</t>
  </si>
  <si>
    <t>Суп картофельный с крупой (крупа гречневая)</t>
  </si>
  <si>
    <t>c птицей отварной (бройлер-цыпленок)</t>
  </si>
  <si>
    <t>Котлеты рубленые из свинины</t>
  </si>
  <si>
    <t xml:space="preserve">Макаронные изделия отварные </t>
  </si>
  <si>
    <t>Сырники из творога(запеченные)</t>
  </si>
  <si>
    <t xml:space="preserve">Соус сметанный сладкий </t>
  </si>
  <si>
    <t>Котлеты рыбные запеченные (минтай)</t>
  </si>
  <si>
    <t>Картофель в молоке</t>
  </si>
  <si>
    <t xml:space="preserve">Капуста тушеная </t>
  </si>
  <si>
    <t>354[1]</t>
  </si>
  <si>
    <t>293[3]</t>
  </si>
  <si>
    <t>Каша жидкая молочная пшенная, с маслом сливочным</t>
  </si>
  <si>
    <t>68[4]</t>
  </si>
  <si>
    <t>Голубцы ленивые с соусом сметанным с томатом</t>
  </si>
  <si>
    <t>Печенье</t>
  </si>
  <si>
    <t>Икра кабачковая для детского питания</t>
  </si>
  <si>
    <t xml:space="preserve">Чай с сахаром </t>
  </si>
  <si>
    <t>67[4]</t>
  </si>
  <si>
    <t>Чай с молоком</t>
  </si>
  <si>
    <t>Котлеты рубленные из кур, запеченные с соусом молочным</t>
  </si>
  <si>
    <t>Суфле из рыбы(минтай)</t>
  </si>
  <si>
    <t>Салат из моркови</t>
  </si>
  <si>
    <t>Каша жидкая молочная гречневая, с маслом сливочным</t>
  </si>
  <si>
    <t>64[4]</t>
  </si>
  <si>
    <t xml:space="preserve">Икра морковная </t>
  </si>
  <si>
    <t>Вареники ленивые отварные</t>
  </si>
  <si>
    <t>Каша  жидкая молочная рисовая, с маслом сливочным</t>
  </si>
  <si>
    <t>Омлет с морковью</t>
  </si>
  <si>
    <t>197[4]</t>
  </si>
  <si>
    <t>Икра свекольная</t>
  </si>
  <si>
    <t>Ватрушка с фаршем творожным</t>
  </si>
  <si>
    <t>Шницель рыбный натуральный (минтай)</t>
  </si>
  <si>
    <t>Масло порциями</t>
  </si>
  <si>
    <t xml:space="preserve">Оладьи из печени по-кунцевски </t>
  </si>
  <si>
    <t>Котлеты рубленые из птицы( бройлер-цыпленок)</t>
  </si>
  <si>
    <t>Птица, тушеная в соусе с овощами</t>
  </si>
  <si>
    <t>Котлеты рубленые из говядины</t>
  </si>
  <si>
    <t>Омлет с сыром</t>
  </si>
  <si>
    <t>Суп картофельный с рыбными фрикадельками</t>
  </si>
  <si>
    <t>Биточки рубленые из птицы(бройлер-цыпленок)</t>
  </si>
  <si>
    <t>Суфле творожное</t>
  </si>
  <si>
    <t>5. Справочник «Химический состав российских пищевых продуктов»/ Под ред. И. М. Скурихина, В. А. Тутельяна. – М. : ДеЛи принт, 2002. – 236 с.</t>
  </si>
  <si>
    <t>Норма</t>
  </si>
  <si>
    <t>Отклонения</t>
  </si>
  <si>
    <t>80\5</t>
  </si>
  <si>
    <t>Омлет натуральный с маслом сливочным</t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</si>
  <si>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1-3 года</t>
    </r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</si>
  <si>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 1-3 года</t>
    </r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</si>
  <si>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1 -3 года</t>
    </r>
  </si>
  <si>
    <t>150\5</t>
  </si>
  <si>
    <t>160\5</t>
  </si>
  <si>
    <t>60\5</t>
  </si>
  <si>
    <t>Пирожки печеные из дрожжевого теста(фарш мясной с луком)</t>
  </si>
  <si>
    <t>Омлет со сметаной (драчена)</t>
  </si>
  <si>
    <t>Суп молочный с макаронными изделиями</t>
  </si>
  <si>
    <t>60\110</t>
  </si>
  <si>
    <t>Суп картофельный с клецками</t>
  </si>
  <si>
    <t>Суп молочный с крупой (кукурузная)</t>
  </si>
  <si>
    <t>121[1]</t>
  </si>
  <si>
    <t>Завтрак (23,12%)</t>
  </si>
  <si>
    <t>2 завтрак (8,36%)</t>
  </si>
  <si>
    <t>2 завтрак (8,57%)</t>
  </si>
  <si>
    <t xml:space="preserve">  Полдник (12,13%)</t>
  </si>
  <si>
    <t xml:space="preserve">Кисель на плодовом или ягодном  экстрактах </t>
  </si>
  <si>
    <t xml:space="preserve">Кисель  на плодовом или ягодном  экстрактах </t>
  </si>
  <si>
    <t>Каша жидкая молочная из манной крупы, с маслом сливочным</t>
  </si>
  <si>
    <t>Таблица ( 1 - 3 года)</t>
  </si>
  <si>
    <t>среднесуточных наборов пищевых продуктов, используемых для приготовления блюд и напитков</t>
  </si>
  <si>
    <t>Норма на 1 ребенка, г, мл (нетто)</t>
  </si>
  <si>
    <t xml:space="preserve"> ДНИ</t>
  </si>
  <si>
    <t xml:space="preserve">За 1 день </t>
  </si>
  <si>
    <t>Творог</t>
  </si>
  <si>
    <t>Мясо</t>
  </si>
  <si>
    <t>Птица</t>
  </si>
  <si>
    <t>Субпродукты(печень)</t>
  </si>
  <si>
    <t>Рыба</t>
  </si>
  <si>
    <t>Яйцо куриное</t>
  </si>
  <si>
    <t>Овощи, зелень</t>
  </si>
  <si>
    <t>Фрукты свежие</t>
  </si>
  <si>
    <t>Фрукты сухие</t>
  </si>
  <si>
    <t>Соки фруктовые</t>
  </si>
  <si>
    <t>Хлеб ржано-пшен</t>
  </si>
  <si>
    <t>Хлеб пшеничный</t>
  </si>
  <si>
    <t>Дрожжи</t>
  </si>
  <si>
    <t>Соль йодиров пищ</t>
  </si>
  <si>
    <t>2023 год</t>
  </si>
  <si>
    <r>
      <t xml:space="preserve">Сезон: </t>
    </r>
    <r>
      <rPr>
        <sz val="12"/>
        <color theme="1"/>
        <rFont val="Times New Roman"/>
        <family val="1"/>
        <charset val="204"/>
      </rPr>
      <t>осенне-зимний</t>
    </r>
  </si>
  <si>
    <t>Пряники</t>
  </si>
  <si>
    <t>Завтрак  2 (6,0%)</t>
  </si>
  <si>
    <t>Соки овощные, фруктовые, ягодные (абрикосовый)</t>
  </si>
  <si>
    <t>2 завтрак(7,0%)</t>
  </si>
  <si>
    <t>Ужин(27,8%)</t>
  </si>
  <si>
    <r>
      <t>1 День:</t>
    </r>
    <r>
      <rPr>
        <sz val="12"/>
        <color theme="1"/>
        <rFont val="Times New Roman"/>
        <family val="1"/>
        <charset val="204"/>
      </rPr>
      <t xml:space="preserve"> понедельник </t>
    </r>
  </si>
  <si>
    <r>
      <t>2 День: В</t>
    </r>
    <r>
      <rPr>
        <sz val="12"/>
        <color theme="1"/>
        <rFont val="Times New Roman"/>
        <family val="1"/>
        <charset val="204"/>
      </rPr>
      <t>торник</t>
    </r>
  </si>
  <si>
    <r>
      <t>3 День:</t>
    </r>
    <r>
      <rPr>
        <sz val="12"/>
        <color theme="1"/>
        <rFont val="Times New Roman"/>
        <family val="1"/>
        <charset val="204"/>
      </rPr>
      <t xml:space="preserve"> Среда</t>
    </r>
  </si>
  <si>
    <r>
      <t>4 День:</t>
    </r>
    <r>
      <rPr>
        <sz val="12"/>
        <color theme="1"/>
        <rFont val="Times New Roman"/>
        <family val="1"/>
        <charset val="204"/>
      </rPr>
      <t xml:space="preserve"> Четверг</t>
    </r>
  </si>
  <si>
    <t>Плоды свежие (груши)</t>
  </si>
  <si>
    <t>2 завтрак(5,6%)</t>
  </si>
  <si>
    <r>
      <t>5 День:</t>
    </r>
    <r>
      <rPr>
        <sz val="12"/>
        <color theme="1"/>
        <rFont val="Times New Roman"/>
        <family val="1"/>
        <charset val="204"/>
      </rPr>
      <t xml:space="preserve"> Пятница</t>
    </r>
  </si>
  <si>
    <r>
      <t xml:space="preserve">Сезон : </t>
    </r>
    <r>
      <rPr>
        <sz val="12"/>
        <color theme="1"/>
        <rFont val="Times New Roman"/>
        <family val="1"/>
        <charset val="204"/>
      </rPr>
      <t>осенне-зимний</t>
    </r>
  </si>
  <si>
    <t>Кисель на плодовом или ягодном экстрактах</t>
  </si>
  <si>
    <r>
      <t>6 День:</t>
    </r>
    <r>
      <rPr>
        <sz val="12"/>
        <color theme="1"/>
        <rFont val="Times New Roman"/>
        <family val="1"/>
        <charset val="204"/>
      </rPr>
      <t xml:space="preserve"> Понедельник</t>
    </r>
  </si>
  <si>
    <r>
      <t>Сезон:</t>
    </r>
    <r>
      <rPr>
        <sz val="12"/>
        <color theme="1"/>
        <rFont val="Times New Roman"/>
        <family val="1"/>
        <charset val="204"/>
      </rPr>
      <t xml:space="preserve"> осенне-зимний</t>
    </r>
  </si>
  <si>
    <t>Плов из птицы (бройлер-цыпленок)</t>
  </si>
  <si>
    <t>279[1]</t>
  </si>
  <si>
    <t>Тефтели ( 2 Вариант)</t>
  </si>
  <si>
    <t>с соусом сметанным</t>
  </si>
  <si>
    <t>2 завтрак(5,4%)</t>
  </si>
  <si>
    <t>Ужин(22,5%)</t>
  </si>
  <si>
    <r>
      <t>7 День:</t>
    </r>
    <r>
      <rPr>
        <sz val="12"/>
        <color theme="1"/>
        <rFont val="Times New Roman"/>
        <family val="1"/>
        <charset val="204"/>
      </rPr>
      <t xml:space="preserve"> Вторник</t>
    </r>
  </si>
  <si>
    <t>Морковь,тушенная с яблоками</t>
  </si>
  <si>
    <t>Запеканка картофельная с мясом (свинина), со сметаной</t>
  </si>
  <si>
    <t>120/15</t>
  </si>
  <si>
    <t>Плоды или ягоды  свежие (груши)</t>
  </si>
  <si>
    <t>2 завтрак(5,8%)</t>
  </si>
  <si>
    <t>Обед(35,8%)</t>
  </si>
  <si>
    <t>Полдник(11,8%)</t>
  </si>
  <si>
    <t>Ужин(27,0%)</t>
  </si>
  <si>
    <r>
      <t>8 День:</t>
    </r>
    <r>
      <rPr>
        <sz val="12"/>
        <color theme="1"/>
        <rFont val="Times New Roman"/>
        <family val="1"/>
        <charset val="204"/>
      </rPr>
      <t xml:space="preserve"> Среда</t>
    </r>
  </si>
  <si>
    <r>
      <t>9 День:</t>
    </r>
    <r>
      <rPr>
        <sz val="12"/>
        <color theme="1"/>
        <rFont val="Times New Roman"/>
        <family val="1"/>
        <charset val="204"/>
      </rPr>
      <t xml:space="preserve"> Четверг</t>
    </r>
  </si>
  <si>
    <t>Компот из свежих плодов(яблок)</t>
  </si>
  <si>
    <r>
      <t>10 День:</t>
    </r>
    <r>
      <rPr>
        <sz val="12"/>
        <color theme="1"/>
        <rFont val="Times New Roman"/>
        <family val="1"/>
        <charset val="204"/>
      </rPr>
      <t xml:space="preserve"> Пятница</t>
    </r>
  </si>
  <si>
    <t>Кисель на плодово или ягодном экстрактах</t>
  </si>
  <si>
    <t>Полдник (12,5%)</t>
  </si>
  <si>
    <t>Икра  морковная</t>
  </si>
  <si>
    <t>Завтрак(21,0%)</t>
  </si>
  <si>
    <t>Каша жидкая (рисовая)</t>
  </si>
  <si>
    <t>Каша жидкая пшеничная</t>
  </si>
  <si>
    <t>Каша жидкая (гречневая )</t>
  </si>
  <si>
    <t>Полдник(15,0%)</t>
  </si>
  <si>
    <t>Завтрак 2(7,0%)</t>
  </si>
  <si>
    <t>180\20</t>
  </si>
  <si>
    <t>Обед (35,7%)</t>
  </si>
  <si>
    <t>180/9</t>
  </si>
  <si>
    <t>Завтрак(20,6%)</t>
  </si>
  <si>
    <t>180\18</t>
  </si>
  <si>
    <t>180\9</t>
  </si>
  <si>
    <t>Обед (33,2%)</t>
  </si>
  <si>
    <t>Полдник (11,7%)</t>
  </si>
  <si>
    <t>Ужин (22,8%)</t>
  </si>
  <si>
    <t>Пирожки печеные из дрожжевого теста(фарш яблочный)</t>
  </si>
  <si>
    <t>Завтрак (23,2%)</t>
  </si>
  <si>
    <t>Обед (37,4%)</t>
  </si>
  <si>
    <t>Ужин (18,1%)</t>
  </si>
  <si>
    <t>Завтрак(21,6%)</t>
  </si>
  <si>
    <t>Обед(36,0%)</t>
  </si>
  <si>
    <t>Полдник(14,5%)</t>
  </si>
  <si>
    <t>Сводная таблица о потреблении  пищевых веществ и энергии  детей с 1-3 лет за 10 дней</t>
  </si>
  <si>
    <t xml:space="preserve"> </t>
  </si>
  <si>
    <t>Обед(32,5%)</t>
  </si>
  <si>
    <t>Ужин (23,3%)</t>
  </si>
  <si>
    <t>Ужин (24,0%)</t>
  </si>
  <si>
    <t>130\3</t>
  </si>
  <si>
    <t xml:space="preserve">Соус сметанный </t>
  </si>
  <si>
    <t>Пудинг из мяса говядины</t>
  </si>
  <si>
    <t>Макароны отварные</t>
  </si>
  <si>
    <t>Полдник (13,9%)</t>
  </si>
  <si>
    <t>2 завтрак (6,0%)</t>
  </si>
  <si>
    <t>200\35</t>
  </si>
  <si>
    <t>278[4]</t>
  </si>
  <si>
    <t>Кефир с сахаром(2 вариант)</t>
  </si>
  <si>
    <t>Кефир с сахаром (2 вариант)</t>
  </si>
  <si>
    <t>Запеканка картофельная с печенью,сливочным маслом</t>
  </si>
  <si>
    <t>140\5</t>
  </si>
  <si>
    <t>120\15</t>
  </si>
  <si>
    <t>15\5</t>
  </si>
  <si>
    <t>2[5]</t>
  </si>
  <si>
    <t>2\13[5]</t>
  </si>
  <si>
    <t>15\7</t>
  </si>
  <si>
    <t>41\8[5]</t>
  </si>
  <si>
    <t>1[5]</t>
  </si>
  <si>
    <t>2{5}</t>
  </si>
  <si>
    <t>Пюре картофельное</t>
  </si>
  <si>
    <t>Завтрак(21,8%)</t>
  </si>
  <si>
    <t>Завтрак 2(8,0%)</t>
  </si>
  <si>
    <t>Обед(32,8%)</t>
  </si>
  <si>
    <t xml:space="preserve">  Полдник(12,7%)</t>
  </si>
  <si>
    <t>Ужин (24,3%)</t>
  </si>
  <si>
    <t>Каша жидкая молочная рисовая, с маслом сливочным</t>
  </si>
  <si>
    <t>Каша  жидкая молочная из овсяных хлопьев, с маслом сливочным</t>
  </si>
  <si>
    <t>1\9[5]</t>
  </si>
  <si>
    <t>2\3[5]</t>
  </si>
  <si>
    <t>28\3[5]</t>
  </si>
  <si>
    <t>7\5[5]</t>
  </si>
  <si>
    <t>Суп картофельный с крупой, ( рисовая)</t>
  </si>
  <si>
    <t xml:space="preserve">                          Кофей напиток </t>
  </si>
  <si>
    <t>Овощное пюре</t>
  </si>
  <si>
    <t>Щи из свежей капусты с картофелем,( со сметаной т/о)</t>
  </si>
  <si>
    <t>Борщ с капустой и картофелем ( со сметаной т/о)</t>
  </si>
  <si>
    <t>Свекольник, ( со сметаной т/о)</t>
  </si>
  <si>
    <t>Суп картофельный с лапшой домашней (на бульоне из птицы)</t>
  </si>
  <si>
    <t>Сыр (порциями, российский)</t>
  </si>
  <si>
    <t>54\18[5]</t>
  </si>
  <si>
    <t>180\7</t>
  </si>
  <si>
    <t>Завтрак(19,9%)</t>
  </si>
  <si>
    <t xml:space="preserve">  Полдник(12,4%)</t>
  </si>
  <si>
    <t>Молоко, в т.ч. кисломо продукты</t>
  </si>
  <si>
    <t>Завтрак (21,0%)</t>
  </si>
  <si>
    <t>Обед (33,5%)</t>
  </si>
  <si>
    <t>Полдник (11,8%)</t>
  </si>
  <si>
    <t>181[1]</t>
  </si>
  <si>
    <t>77[4]</t>
  </si>
  <si>
    <t>197[3]</t>
  </si>
  <si>
    <t>229[2]</t>
  </si>
  <si>
    <t>242[2]</t>
  </si>
  <si>
    <t>231[2]</t>
  </si>
  <si>
    <t>230[2]</t>
  </si>
  <si>
    <t>1\13[5]</t>
  </si>
  <si>
    <t>414[2]</t>
  </si>
  <si>
    <t>413[2]</t>
  </si>
  <si>
    <t>416[2]</t>
  </si>
  <si>
    <t>132[3]</t>
  </si>
  <si>
    <t>386[2]</t>
  </si>
  <si>
    <t>418[2]</t>
  </si>
  <si>
    <t>32[2]</t>
  </si>
  <si>
    <t>21[2]</t>
  </si>
  <si>
    <t>55[2]</t>
  </si>
  <si>
    <t>19[1]</t>
  </si>
  <si>
    <t>34[2]</t>
  </si>
  <si>
    <t>86[2]</t>
  </si>
  <si>
    <t>89/129[2]</t>
  </si>
  <si>
    <t>73[2]</t>
  </si>
  <si>
    <t>83\60\126[2]</t>
  </si>
  <si>
    <t>98[1]</t>
  </si>
  <si>
    <t>91\128[2]</t>
  </si>
  <si>
    <t>63[2]</t>
  </si>
  <si>
    <t>90\132[2]</t>
  </si>
  <si>
    <t>299[2]</t>
  </si>
  <si>
    <t>315\373[2]</t>
  </si>
  <si>
    <t>308[2]</t>
  </si>
  <si>
    <t>324[2]</t>
  </si>
  <si>
    <t>321[2]</t>
  </si>
  <si>
    <t>372[2]</t>
  </si>
  <si>
    <t>124[4]</t>
  </si>
  <si>
    <t>322[2]</t>
  </si>
  <si>
    <t>319[2]</t>
  </si>
  <si>
    <t>335[2]</t>
  </si>
  <si>
    <t>174[1]</t>
  </si>
  <si>
    <t>339[2]</t>
  </si>
  <si>
    <t>144[1]</t>
  </si>
  <si>
    <t>199[2]</t>
  </si>
  <si>
    <t>394[2]</t>
  </si>
  <si>
    <t>293[4]</t>
  </si>
  <si>
    <t>300(1)</t>
  </si>
  <si>
    <t>300[1]</t>
  </si>
  <si>
    <t>245[2]</t>
  </si>
  <si>
    <t>115[3]</t>
  </si>
  <si>
    <t>419[2]</t>
  </si>
  <si>
    <t>437\494[2]</t>
  </si>
  <si>
    <t>441[2]</t>
  </si>
  <si>
    <t>432[2]</t>
  </si>
  <si>
    <t>113[3]</t>
  </si>
  <si>
    <t>437\503[2]</t>
  </si>
  <si>
    <t>449[2]</t>
  </si>
  <si>
    <t>82[3]</t>
  </si>
  <si>
    <t>363[2]</t>
  </si>
  <si>
    <t>271[2]</t>
  </si>
  <si>
    <t>284[2]</t>
  </si>
  <si>
    <t>274[2]</t>
  </si>
  <si>
    <t>281[2]</t>
  </si>
  <si>
    <t>Пояснение</t>
  </si>
  <si>
    <t>* При приготовлении блюд используются овощи и фрукты урожая 2023-2024гг. После 1  марта допускается использовать только после термической обработки.</t>
  </si>
  <si>
    <t>*На методические рекомендации по питанию детей в организованных коллективах.Часть 3 Сборник технологических карт,-Екатеринбург: ФБУН  ПОЗРПП Роспотребнадзора,ФГБОУ ВО УрГЭУ, ФБУЗ ЦГ и Э в Свердловской области 2018г.(в электронном виде). Есть заключение Роспотребнадзора , прилагается (копия).</t>
  </si>
  <si>
    <t>1.Сборник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 [1]</t>
  </si>
  <si>
    <t>2.Сборник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2016. – 544 с. [2]</t>
  </si>
  <si>
    <t>3.Сборник технологических карт, рецептур блюд кулинарных изделий для детского питания. – Уфа: ООО Фирма «Партнер» (части 1 и 2), 2015 [4]</t>
  </si>
  <si>
    <t>6. Методические рекомендации по питанию детей в организованных коллективах.Часть 3 Сборник технологических карт,-Екатеринбург: ФБУН  ПОЗРПП Роспотребнадзора,ФГБОУ ВО УрГЭУ, ФБУЗ ЦГ и Э в Свердловской области 2018г.(в электронном виде),[5]</t>
  </si>
  <si>
    <t>4.Организация питания в дошкольных образовательных учреждениях. – М, 2007 (электронном виде), [3]</t>
  </si>
  <si>
    <t>Ужин(25,0%)</t>
  </si>
  <si>
    <t>Обед(37,0%)</t>
  </si>
  <si>
    <t>Завтрак(19,7%)</t>
  </si>
  <si>
    <t>Cалат из свёклы с сыром</t>
  </si>
  <si>
    <t>Салат из свёклы</t>
  </si>
  <si>
    <t>Запеканка из рыбы с морковью(2 вариант)</t>
  </si>
  <si>
    <t>Обед (35,8%)</t>
  </si>
  <si>
    <t>Ужин (24,9%)</t>
  </si>
  <si>
    <t>10\7[5]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</si>
</sst>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3">
    <xf numFmtId="0" fontId="0" fillId="0" borderId="0" xfId="0"/>
    <xf numFmtId="2" fontId="5" fillId="0" borderId="0" xfId="0" applyNumberFormat="1" applyFont="1"/>
    <xf numFmtId="2" fontId="2" fillId="0" borderId="9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2" fontId="4" fillId="0" borderId="7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/>
    <xf numFmtId="2" fontId="4" fillId="0" borderId="14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vertical="top" wrapText="1"/>
    </xf>
    <xf numFmtId="1" fontId="4" fillId="0" borderId="14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10" fontId="5" fillId="0" borderId="0" xfId="0" applyNumberFormat="1" applyFont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6" fontId="5" fillId="0" borderId="0" xfId="0" applyNumberFormat="1" applyFont="1"/>
    <xf numFmtId="0" fontId="5" fillId="0" borderId="14" xfId="0" applyFont="1" applyBorder="1"/>
    <xf numFmtId="2" fontId="13" fillId="2" borderId="0" xfId="0" applyNumberFormat="1" applyFont="1" applyFill="1"/>
    <xf numFmtId="2" fontId="2" fillId="0" borderId="0" xfId="0" applyNumberFormat="1" applyFont="1" applyAlignment="1">
      <alignment vertical="center"/>
    </xf>
    <xf numFmtId="2" fontId="12" fillId="2" borderId="0" xfId="0" applyNumberFormat="1" applyFont="1" applyFill="1"/>
    <xf numFmtId="1" fontId="13" fillId="2" borderId="0" xfId="0" applyNumberFormat="1" applyFont="1" applyFill="1"/>
    <xf numFmtId="2" fontId="13" fillId="2" borderId="0" xfId="0" applyNumberFormat="1" applyFont="1" applyFill="1" applyAlignment="1">
      <alignment horizontal="center" vertical="center"/>
    </xf>
    <xf numFmtId="2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top" wrapText="1"/>
    </xf>
    <xf numFmtId="1" fontId="12" fillId="2" borderId="0" xfId="0" applyNumberFormat="1" applyFont="1" applyFill="1" applyBorder="1" applyAlignment="1">
      <alignment horizontal="center" vertical="top" wrapText="1"/>
    </xf>
    <xf numFmtId="2" fontId="12" fillId="2" borderId="0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2" fontId="13" fillId="2" borderId="5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12" fillId="2" borderId="17" xfId="0" applyNumberFormat="1" applyFont="1" applyFill="1" applyBorder="1" applyAlignment="1">
      <alignment horizontal="center" vertical="center" wrapText="1"/>
    </xf>
    <xf numFmtId="2" fontId="12" fillId="2" borderId="17" xfId="0" applyNumberFormat="1" applyFont="1" applyFill="1" applyBorder="1" applyAlignment="1">
      <alignment horizontal="left" vertical="center" wrapText="1"/>
    </xf>
    <xf numFmtId="1" fontId="12" fillId="2" borderId="17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wrapText="1"/>
    </xf>
    <xf numFmtId="1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7" fillId="2" borderId="0" xfId="0" applyFont="1" applyFill="1"/>
    <xf numFmtId="2" fontId="12" fillId="2" borderId="1" xfId="0" applyNumberFormat="1" applyFont="1" applyFill="1" applyBorder="1" applyAlignment="1">
      <alignment horizontal="left" vertical="center" wrapText="1"/>
    </xf>
    <xf numFmtId="2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" fontId="9" fillId="0" borderId="14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5" xfId="0" applyNumberFormat="1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1" fontId="14" fillId="0" borderId="14" xfId="0" applyNumberFormat="1" applyFont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left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16" fillId="0" borderId="0" xfId="0" applyNumberFormat="1" applyFont="1" applyAlignment="1">
      <alignment vertical="center"/>
    </xf>
    <xf numFmtId="1" fontId="12" fillId="2" borderId="2" xfId="0" applyNumberFormat="1" applyFont="1" applyFill="1" applyBorder="1" applyAlignment="1">
      <alignment horizontal="center" vertical="center" wrapText="1"/>
    </xf>
    <xf numFmtId="2" fontId="12" fillId="2" borderId="14" xfId="0" applyNumberFormat="1" applyFont="1" applyFill="1" applyBorder="1" applyAlignment="1">
      <alignment horizontal="center" vertical="center" wrapText="1"/>
    </xf>
    <xf numFmtId="1" fontId="12" fillId="2" borderId="14" xfId="0" applyNumberFormat="1" applyFont="1" applyFill="1" applyBorder="1" applyAlignment="1">
      <alignment horizontal="center" vertical="center" wrapText="1"/>
    </xf>
    <xf numFmtId="2" fontId="12" fillId="2" borderId="24" xfId="0" applyNumberFormat="1" applyFont="1" applyFill="1" applyBorder="1" applyAlignment="1">
      <alignment horizontal="center" vertical="center" wrapText="1"/>
    </xf>
    <xf numFmtId="1" fontId="12" fillId="2" borderId="24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/>
    <xf numFmtId="0" fontId="7" fillId="0" borderId="26" xfId="0" applyFont="1" applyFill="1" applyBorder="1"/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8" fillId="0" borderId="14" xfId="0" applyNumberFormat="1" applyFont="1" applyBorder="1" applyAlignment="1">
      <alignment horizontal="center" vertical="top" wrapText="1"/>
    </xf>
    <xf numFmtId="2" fontId="18" fillId="0" borderId="14" xfId="0" applyNumberFormat="1" applyFont="1" applyBorder="1" applyAlignment="1">
      <alignment horizontal="center" wrapText="1"/>
    </xf>
    <xf numFmtId="0" fontId="19" fillId="0" borderId="0" xfId="0" applyFont="1" applyFill="1"/>
    <xf numFmtId="0" fontId="13" fillId="0" borderId="14" xfId="0" applyFont="1" applyFill="1" applyBorder="1"/>
    <xf numFmtId="0" fontId="12" fillId="3" borderId="14" xfId="0" applyFont="1" applyFill="1" applyBorder="1" applyAlignment="1">
      <alignment wrapText="1"/>
    </xf>
    <xf numFmtId="0" fontId="12" fillId="0" borderId="14" xfId="0" applyFont="1" applyFill="1" applyBorder="1"/>
    <xf numFmtId="164" fontId="13" fillId="0" borderId="14" xfId="0" applyNumberFormat="1" applyFont="1" applyFill="1" applyBorder="1"/>
    <xf numFmtId="0" fontId="12" fillId="3" borderId="14" xfId="0" applyFont="1" applyFill="1" applyBorder="1"/>
    <xf numFmtId="0" fontId="13" fillId="0" borderId="26" xfId="0" applyFont="1" applyFill="1" applyBorder="1"/>
    <xf numFmtId="0" fontId="12" fillId="3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/>
    <xf numFmtId="0" fontId="13" fillId="0" borderId="14" xfId="0" applyFont="1" applyFill="1" applyBorder="1" applyAlignment="1"/>
    <xf numFmtId="0" fontId="20" fillId="0" borderId="0" xfId="0" applyFont="1" applyFill="1"/>
    <xf numFmtId="0" fontId="12" fillId="0" borderId="14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1" fillId="0" borderId="0" xfId="0" applyFont="1" applyAlignment="1">
      <alignment horizontal="left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3" fontId="12" fillId="2" borderId="1" xfId="0" applyNumberFormat="1" applyFont="1" applyFill="1" applyBorder="1" applyAlignment="1">
      <alignment horizontal="center" vertical="center" wrapText="1"/>
    </xf>
    <xf numFmtId="2" fontId="12" fillId="2" borderId="18" xfId="0" applyNumberFormat="1" applyFont="1" applyFill="1" applyBorder="1" applyAlignment="1">
      <alignment horizontal="center" vertical="center" wrapText="1"/>
    </xf>
    <xf numFmtId="2" fontId="12" fillId="2" borderId="22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wrapText="1"/>
    </xf>
    <xf numFmtId="2" fontId="12" fillId="2" borderId="3" xfId="0" applyNumberFormat="1" applyFont="1" applyFill="1" applyBorder="1" applyAlignment="1">
      <alignment horizont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1" fontId="12" fillId="2" borderId="2" xfId="0" applyNumberFormat="1" applyFont="1" applyFill="1" applyBorder="1" applyAlignment="1">
      <alignment horizontal="center" wrapText="1"/>
    </xf>
    <xf numFmtId="1" fontId="12" fillId="2" borderId="3" xfId="0" applyNumberFormat="1" applyFont="1" applyFill="1" applyBorder="1" applyAlignment="1">
      <alignment horizont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2" fontId="12" fillId="2" borderId="16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7" fillId="0" borderId="23" xfId="0" applyNumberFormat="1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12" xfId="0" applyNumberFormat="1" applyFont="1" applyBorder="1" applyAlignment="1">
      <alignment horizontal="center" vertical="top" wrapText="1"/>
    </xf>
    <xf numFmtId="2" fontId="4" fillId="0" borderId="11" xfId="0" applyNumberFormat="1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 vertical="top" wrapText="1"/>
    </xf>
    <xf numFmtId="2" fontId="4" fillId="0" borderId="14" xfId="0" applyNumberFormat="1" applyFont="1" applyBorder="1" applyAlignment="1">
      <alignment horizont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13" fillId="0" borderId="19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/>
    </xf>
    <xf numFmtId="0" fontId="13" fillId="0" borderId="19" xfId="0" applyFont="1" applyBorder="1" applyAlignment="1">
      <alignment vertical="center" wrapText="1"/>
    </xf>
    <xf numFmtId="0" fontId="19" fillId="0" borderId="24" xfId="0" applyFont="1" applyBorder="1" applyAlignment="1"/>
    <xf numFmtId="0" fontId="13" fillId="0" borderId="19" xfId="0" applyFont="1" applyFill="1" applyBorder="1" applyAlignment="1">
      <alignment vertical="center" wrapText="1"/>
    </xf>
    <xf numFmtId="0" fontId="19" fillId="0" borderId="24" xfId="0" applyFont="1" applyFill="1" applyBorder="1" applyAlignment="1"/>
    <xf numFmtId="0" fontId="13" fillId="0" borderId="20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3" sqref="D23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97"/>
  <sheetViews>
    <sheetView tabSelected="1" topLeftCell="B331" zoomScale="87" zoomScaleNormal="87" zoomScaleSheetLayoutView="70" workbookViewId="0">
      <selection activeCell="C349" sqref="C349"/>
    </sheetView>
  </sheetViews>
  <sheetFormatPr defaultColWidth="9.140625" defaultRowHeight="15.75"/>
  <cols>
    <col min="1" max="1" width="0" style="33" hidden="1" customWidth="1"/>
    <col min="2" max="2" width="14.7109375" style="33" customWidth="1"/>
    <col min="3" max="3" width="83.140625" style="33" customWidth="1"/>
    <col min="4" max="4" width="19.85546875" style="53" customWidth="1"/>
    <col min="5" max="5" width="15.7109375" style="33" customWidth="1"/>
    <col min="6" max="6" width="15.85546875" style="33" customWidth="1"/>
    <col min="7" max="7" width="15.7109375" style="33" customWidth="1"/>
    <col min="8" max="8" width="35.42578125" style="33" customWidth="1"/>
    <col min="9" max="9" width="17.28515625" style="33" customWidth="1"/>
    <col min="10" max="16384" width="9.140625" style="33"/>
  </cols>
  <sheetData>
    <row r="1" spans="1:9" s="28" customFormat="1">
      <c r="B1" s="29" t="s">
        <v>191</v>
      </c>
      <c r="C1" s="30"/>
      <c r="D1" s="31"/>
      <c r="E1" s="32"/>
      <c r="F1" s="32"/>
      <c r="G1" s="32"/>
      <c r="H1" s="32"/>
      <c r="I1" s="32"/>
    </row>
    <row r="2" spans="1:9" s="28" customFormat="1">
      <c r="B2" s="29" t="s">
        <v>70</v>
      </c>
      <c r="C2" s="30"/>
      <c r="D2" s="31"/>
      <c r="E2" s="32"/>
      <c r="F2" s="32"/>
      <c r="G2" s="32"/>
      <c r="H2" s="32"/>
      <c r="I2" s="32"/>
    </row>
    <row r="3" spans="1:9" s="28" customFormat="1">
      <c r="B3" s="29" t="s">
        <v>185</v>
      </c>
      <c r="C3" s="30"/>
      <c r="D3" s="31"/>
      <c r="E3" s="32"/>
      <c r="F3" s="32"/>
      <c r="G3" s="32"/>
      <c r="H3" s="32"/>
      <c r="I3" s="32"/>
    </row>
    <row r="4" spans="1:9" s="28" customFormat="1">
      <c r="B4" s="29" t="s">
        <v>145</v>
      </c>
      <c r="C4" s="30"/>
      <c r="D4" s="31"/>
      <c r="E4" s="32"/>
      <c r="F4" s="32"/>
      <c r="G4" s="32"/>
      <c r="H4" s="32"/>
      <c r="I4" s="32"/>
    </row>
    <row r="5" spans="1:9" s="28" customFormat="1">
      <c r="B5" s="29" t="s">
        <v>184</v>
      </c>
      <c r="C5" s="30"/>
      <c r="D5" s="31"/>
      <c r="E5" s="32"/>
      <c r="F5" s="32"/>
      <c r="G5" s="32"/>
      <c r="H5" s="32"/>
      <c r="I5" s="32"/>
    </row>
    <row r="6" spans="1:9" ht="46.5" customHeight="1">
      <c r="B6" s="188" t="s">
        <v>0</v>
      </c>
      <c r="C6" s="188" t="s">
        <v>1</v>
      </c>
      <c r="D6" s="195" t="s">
        <v>2</v>
      </c>
      <c r="E6" s="188" t="s">
        <v>3</v>
      </c>
      <c r="F6" s="188"/>
      <c r="G6" s="188"/>
      <c r="H6" s="188" t="s">
        <v>4</v>
      </c>
      <c r="I6" s="101" t="s">
        <v>84</v>
      </c>
    </row>
    <row r="7" spans="1:9" ht="27.75" customHeight="1">
      <c r="B7" s="188"/>
      <c r="C7" s="188"/>
      <c r="D7" s="195"/>
      <c r="E7" s="34" t="s">
        <v>5</v>
      </c>
      <c r="F7" s="34" t="s">
        <v>6</v>
      </c>
      <c r="G7" s="34" t="s">
        <v>7</v>
      </c>
      <c r="H7" s="188"/>
      <c r="I7" s="34" t="s">
        <v>8</v>
      </c>
    </row>
    <row r="8" spans="1:9">
      <c r="B8" s="188" t="s">
        <v>224</v>
      </c>
      <c r="C8" s="188"/>
      <c r="D8" s="188"/>
      <c r="E8" s="188"/>
      <c r="F8" s="188"/>
      <c r="G8" s="188"/>
      <c r="H8" s="188"/>
      <c r="I8" s="188"/>
    </row>
    <row r="9" spans="1:9" ht="31.15" customHeight="1">
      <c r="A9" s="33">
        <v>1</v>
      </c>
      <c r="B9" s="165" t="s">
        <v>299</v>
      </c>
      <c r="C9" s="20" t="s">
        <v>164</v>
      </c>
      <c r="D9" s="35" t="s">
        <v>148</v>
      </c>
      <c r="E9" s="36">
        <v>4.59</v>
      </c>
      <c r="F9" s="36">
        <v>5.36</v>
      </c>
      <c r="G9" s="36">
        <v>24.48</v>
      </c>
      <c r="H9" s="36">
        <v>164.83</v>
      </c>
      <c r="I9" s="36">
        <v>0.88</v>
      </c>
    </row>
    <row r="10" spans="1:9" ht="20.100000000000001" customHeight="1">
      <c r="A10" s="33">
        <v>1</v>
      </c>
      <c r="B10" s="168" t="s">
        <v>302</v>
      </c>
      <c r="C10" s="20" t="s">
        <v>144</v>
      </c>
      <c r="D10" s="69" t="s">
        <v>143</v>
      </c>
      <c r="E10" s="36">
        <v>7.52</v>
      </c>
      <c r="F10" s="36">
        <v>9.5</v>
      </c>
      <c r="G10" s="36">
        <v>1.51</v>
      </c>
      <c r="H10" s="36">
        <v>121</v>
      </c>
      <c r="I10" s="36">
        <v>0.15</v>
      </c>
    </row>
    <row r="11" spans="1:9" s="65" customFormat="1" ht="20.100000000000001" customHeight="1">
      <c r="B11" s="167" t="s">
        <v>306</v>
      </c>
      <c r="C11" s="64" t="s">
        <v>95</v>
      </c>
      <c r="D11" s="136" t="s">
        <v>264</v>
      </c>
      <c r="E11" s="36">
        <v>1.04</v>
      </c>
      <c r="F11" s="36">
        <v>3.73</v>
      </c>
      <c r="G11" s="36">
        <v>7.06</v>
      </c>
      <c r="H11" s="36">
        <v>67</v>
      </c>
      <c r="I11" s="36">
        <v>0</v>
      </c>
    </row>
    <row r="12" spans="1:9" s="65" customFormat="1" ht="20.100000000000001" customHeight="1">
      <c r="B12" s="144"/>
      <c r="C12" s="64" t="s">
        <v>96</v>
      </c>
      <c r="D12" s="136">
        <v>10</v>
      </c>
      <c r="E12" s="36">
        <v>0.7</v>
      </c>
      <c r="F12" s="36">
        <v>7.0000000000000007E-2</v>
      </c>
      <c r="G12" s="36">
        <v>4.7</v>
      </c>
      <c r="H12" s="36">
        <v>22.7</v>
      </c>
      <c r="I12" s="36">
        <v>0</v>
      </c>
    </row>
    <row r="13" spans="1:9" s="65" customFormat="1" ht="20.100000000000001" customHeight="1">
      <c r="B13" s="167" t="s">
        <v>307</v>
      </c>
      <c r="C13" s="64" t="s">
        <v>97</v>
      </c>
      <c r="D13" s="69">
        <v>150</v>
      </c>
      <c r="E13" s="36">
        <v>2.34</v>
      </c>
      <c r="F13" s="36">
        <v>2</v>
      </c>
      <c r="G13" s="36">
        <v>10.63</v>
      </c>
      <c r="H13" s="36">
        <v>70</v>
      </c>
      <c r="I13" s="36">
        <v>0.98</v>
      </c>
    </row>
    <row r="14" spans="1:9" ht="20.100000000000001" customHeight="1">
      <c r="A14" s="33">
        <v>1</v>
      </c>
      <c r="B14" s="60"/>
      <c r="C14" s="60" t="s">
        <v>10</v>
      </c>
      <c r="D14" s="61">
        <v>420</v>
      </c>
      <c r="E14" s="60">
        <f>SUM(E9:E13)</f>
        <v>16.189999999999998</v>
      </c>
      <c r="F14" s="105">
        <f>SUM(F9:F13)</f>
        <v>20.66</v>
      </c>
      <c r="G14" s="105">
        <f>SUM(G9:G13)</f>
        <v>48.38000000000001</v>
      </c>
      <c r="H14" s="105">
        <f>SUM(H9:H13)</f>
        <v>445.53000000000003</v>
      </c>
      <c r="I14" s="105">
        <f>SUM(I9:I13)</f>
        <v>2.0099999999999998</v>
      </c>
    </row>
    <row r="15" spans="1:9" ht="20.100000000000001" customHeight="1">
      <c r="B15" s="188" t="s">
        <v>229</v>
      </c>
      <c r="C15" s="188"/>
      <c r="D15" s="188"/>
      <c r="E15" s="188"/>
      <c r="F15" s="188"/>
      <c r="G15" s="188"/>
      <c r="H15" s="188"/>
      <c r="I15" s="188"/>
    </row>
    <row r="16" spans="1:9" ht="20.100000000000001" customHeight="1">
      <c r="B16" s="171" t="s">
        <v>312</v>
      </c>
      <c r="C16" s="64" t="s">
        <v>98</v>
      </c>
      <c r="D16" s="61">
        <v>150</v>
      </c>
      <c r="E16" s="36">
        <v>0.75</v>
      </c>
      <c r="F16" s="36">
        <v>0</v>
      </c>
      <c r="G16" s="36">
        <v>15.15</v>
      </c>
      <c r="H16" s="36">
        <v>64</v>
      </c>
      <c r="I16" s="36">
        <v>3</v>
      </c>
    </row>
    <row r="17" spans="1:9" ht="20.100000000000001" customHeight="1">
      <c r="B17" s="34"/>
      <c r="C17" s="60" t="s">
        <v>10</v>
      </c>
      <c r="D17" s="35">
        <f>D16</f>
        <v>150</v>
      </c>
      <c r="E17" s="34">
        <f>E16</f>
        <v>0.75</v>
      </c>
      <c r="F17" s="103">
        <f t="shared" ref="F17:I17" si="0">F16</f>
        <v>0</v>
      </c>
      <c r="G17" s="103">
        <f t="shared" si="0"/>
        <v>15.15</v>
      </c>
      <c r="H17" s="103">
        <f t="shared" si="0"/>
        <v>64</v>
      </c>
      <c r="I17" s="103">
        <f t="shared" si="0"/>
        <v>3</v>
      </c>
    </row>
    <row r="18" spans="1:9" ht="15.95" customHeight="1">
      <c r="A18" s="33">
        <v>1</v>
      </c>
      <c r="B18" s="188" t="s">
        <v>248</v>
      </c>
      <c r="C18" s="188"/>
      <c r="D18" s="188"/>
      <c r="E18" s="188"/>
      <c r="F18" s="188"/>
      <c r="G18" s="188"/>
      <c r="H18" s="188"/>
      <c r="I18" s="188"/>
    </row>
    <row r="19" spans="1:9" ht="20.100000000000001" customHeight="1">
      <c r="B19" s="173" t="s">
        <v>313</v>
      </c>
      <c r="C19" s="64" t="s">
        <v>370</v>
      </c>
      <c r="D19" s="35">
        <v>40</v>
      </c>
      <c r="E19" s="37">
        <v>1.88</v>
      </c>
      <c r="F19" s="37">
        <v>3.8</v>
      </c>
      <c r="G19" s="37">
        <v>2.85</v>
      </c>
      <c r="H19" s="37">
        <v>53.1</v>
      </c>
      <c r="I19" s="37">
        <v>3.28</v>
      </c>
    </row>
    <row r="20" spans="1:9" s="65" customFormat="1" ht="20.100000000000001" customHeight="1">
      <c r="B20" s="173" t="s">
        <v>318</v>
      </c>
      <c r="C20" s="64" t="s">
        <v>99</v>
      </c>
      <c r="D20" s="99">
        <v>200</v>
      </c>
      <c r="E20" s="68">
        <v>1.74</v>
      </c>
      <c r="F20" s="68">
        <v>2.27</v>
      </c>
      <c r="G20" s="68">
        <v>11.43</v>
      </c>
      <c r="H20" s="68">
        <v>73.2</v>
      </c>
      <c r="I20" s="68">
        <v>6.6</v>
      </c>
    </row>
    <row r="21" spans="1:9" s="65" customFormat="1" ht="20.100000000000001" customHeight="1">
      <c r="B21" s="147" t="s">
        <v>279</v>
      </c>
      <c r="C21" s="64" t="s">
        <v>100</v>
      </c>
      <c r="D21" s="99">
        <v>25</v>
      </c>
      <c r="E21" s="68">
        <v>5.8</v>
      </c>
      <c r="F21" s="68">
        <v>4.2</v>
      </c>
      <c r="G21" s="68">
        <v>0.1</v>
      </c>
      <c r="H21" s="68">
        <v>61</v>
      </c>
      <c r="I21" s="68">
        <v>0.2</v>
      </c>
    </row>
    <row r="22" spans="1:9" ht="20.100000000000001" customHeight="1">
      <c r="B22" s="172" t="s">
        <v>326</v>
      </c>
      <c r="C22" s="20" t="s">
        <v>101</v>
      </c>
      <c r="D22" s="61">
        <v>60</v>
      </c>
      <c r="E22" s="37">
        <v>6.65</v>
      </c>
      <c r="F22" s="37">
        <v>16.399999999999999</v>
      </c>
      <c r="G22" s="37">
        <v>9.64</v>
      </c>
      <c r="H22" s="37">
        <v>212</v>
      </c>
      <c r="I22" s="37">
        <v>0.09</v>
      </c>
    </row>
    <row r="23" spans="1:9" ht="22.5" customHeight="1">
      <c r="B23" s="175" t="s">
        <v>335</v>
      </c>
      <c r="C23" s="109" t="s">
        <v>102</v>
      </c>
      <c r="D23" s="56">
        <v>100</v>
      </c>
      <c r="E23" s="68">
        <v>3.5</v>
      </c>
      <c r="F23" s="68">
        <v>2</v>
      </c>
      <c r="G23" s="68">
        <v>21.6</v>
      </c>
      <c r="H23" s="68">
        <v>123</v>
      </c>
      <c r="I23" s="68">
        <v>0</v>
      </c>
    </row>
    <row r="24" spans="1:9" ht="19.5" customHeight="1">
      <c r="B24" s="46" t="s">
        <v>340</v>
      </c>
      <c r="C24" s="47" t="s">
        <v>88</v>
      </c>
      <c r="D24" s="48">
        <v>180</v>
      </c>
      <c r="E24" s="68">
        <v>0.4</v>
      </c>
      <c r="F24" s="68">
        <v>0.02</v>
      </c>
      <c r="G24" s="68">
        <v>19</v>
      </c>
      <c r="H24" s="68">
        <v>77.7</v>
      </c>
      <c r="I24" s="68">
        <v>0.36</v>
      </c>
    </row>
    <row r="25" spans="1:9" ht="20.100000000000001" customHeight="1">
      <c r="A25" s="33">
        <v>1</v>
      </c>
      <c r="B25" s="46"/>
      <c r="C25" s="47" t="s">
        <v>12</v>
      </c>
      <c r="D25" s="48">
        <v>20</v>
      </c>
      <c r="E25" s="68">
        <v>1.3</v>
      </c>
      <c r="F25" s="68">
        <v>0.2</v>
      </c>
      <c r="G25" s="68">
        <v>6.7</v>
      </c>
      <c r="H25" s="68">
        <v>39</v>
      </c>
      <c r="I25" s="68">
        <v>0</v>
      </c>
    </row>
    <row r="26" spans="1:9" ht="20.100000000000001" customHeight="1">
      <c r="A26" s="33">
        <v>1</v>
      </c>
      <c r="B26" s="105"/>
      <c r="C26" s="64" t="s">
        <v>96</v>
      </c>
      <c r="D26" s="106">
        <v>10</v>
      </c>
      <c r="E26" s="68">
        <v>0.7</v>
      </c>
      <c r="F26" s="68">
        <v>7.0000000000000007E-2</v>
      </c>
      <c r="G26" s="68">
        <v>4.7</v>
      </c>
      <c r="H26" s="68">
        <v>22.7</v>
      </c>
      <c r="I26" s="68">
        <v>0</v>
      </c>
    </row>
    <row r="27" spans="1:9" ht="20.100000000000001" customHeight="1">
      <c r="A27" s="33">
        <v>1</v>
      </c>
      <c r="B27" s="34"/>
      <c r="C27" s="34" t="s">
        <v>10</v>
      </c>
      <c r="D27" s="35">
        <f>SUM(D19:D26)</f>
        <v>635</v>
      </c>
      <c r="E27" s="34">
        <f>SUM(E19:E26)</f>
        <v>21.97</v>
      </c>
      <c r="F27" s="105">
        <f t="shared" ref="F27:I27" si="1">SUM(F19:F26)</f>
        <v>28.959999999999997</v>
      </c>
      <c r="G27" s="105">
        <f t="shared" si="1"/>
        <v>76.02000000000001</v>
      </c>
      <c r="H27" s="105">
        <f t="shared" si="1"/>
        <v>661.7</v>
      </c>
      <c r="I27" s="105">
        <f t="shared" si="1"/>
        <v>10.529999999999998</v>
      </c>
    </row>
    <row r="28" spans="1:9" ht="20.100000000000001" customHeight="1">
      <c r="A28" s="33">
        <v>1</v>
      </c>
      <c r="B28" s="188" t="s">
        <v>228</v>
      </c>
      <c r="C28" s="188"/>
      <c r="D28" s="188"/>
      <c r="E28" s="188"/>
      <c r="F28" s="188"/>
      <c r="G28" s="188"/>
      <c r="H28" s="188"/>
      <c r="I28" s="188"/>
    </row>
    <row r="29" spans="1:9" s="65" customFormat="1" ht="20.100000000000001" customHeight="1">
      <c r="B29" s="177" t="s">
        <v>344</v>
      </c>
      <c r="C29" s="64" t="s">
        <v>103</v>
      </c>
      <c r="D29" s="69">
        <v>100</v>
      </c>
      <c r="E29" s="68">
        <v>12.8</v>
      </c>
      <c r="F29" s="68">
        <v>10.8</v>
      </c>
      <c r="G29" s="68">
        <v>10.5</v>
      </c>
      <c r="H29" s="68">
        <v>190</v>
      </c>
      <c r="I29" s="68">
        <v>0.26</v>
      </c>
    </row>
    <row r="30" spans="1:9" s="65" customFormat="1" ht="20.100000000000001" customHeight="1">
      <c r="B30" s="176" t="s">
        <v>345</v>
      </c>
      <c r="C30" s="64" t="s">
        <v>104</v>
      </c>
      <c r="D30" s="69">
        <v>30</v>
      </c>
      <c r="E30" s="68">
        <v>1.1000000000000001</v>
      </c>
      <c r="F30" s="68">
        <v>1.66</v>
      </c>
      <c r="G30" s="68">
        <v>2.38</v>
      </c>
      <c r="H30" s="68">
        <v>40.08</v>
      </c>
      <c r="I30" s="68">
        <v>0.08</v>
      </c>
    </row>
    <row r="31" spans="1:9" s="65" customFormat="1" ht="20.100000000000001" customHeight="1">
      <c r="B31" s="176" t="s">
        <v>346</v>
      </c>
      <c r="C31" s="64" t="s">
        <v>92</v>
      </c>
      <c r="D31" s="69">
        <v>180</v>
      </c>
      <c r="E31" s="68">
        <v>5.48</v>
      </c>
      <c r="F31" s="68">
        <v>4.88</v>
      </c>
      <c r="G31" s="68">
        <v>9.07</v>
      </c>
      <c r="H31" s="68">
        <v>102</v>
      </c>
      <c r="I31" s="68">
        <v>2.46</v>
      </c>
    </row>
    <row r="32" spans="1:9" s="65" customFormat="1" ht="20.100000000000001" customHeight="1">
      <c r="B32" s="83"/>
      <c r="C32" s="113" t="s">
        <v>10</v>
      </c>
      <c r="D32" s="69">
        <f t="shared" ref="D32:I32" si="2">SUM(D29:D31)</f>
        <v>310</v>
      </c>
      <c r="E32" s="83">
        <f t="shared" si="2"/>
        <v>19.380000000000003</v>
      </c>
      <c r="F32" s="111">
        <f t="shared" si="2"/>
        <v>17.34</v>
      </c>
      <c r="G32" s="111">
        <f t="shared" si="2"/>
        <v>21.95</v>
      </c>
      <c r="H32" s="111">
        <f t="shared" si="2"/>
        <v>332.08</v>
      </c>
      <c r="I32" s="111">
        <f t="shared" si="2"/>
        <v>2.8</v>
      </c>
    </row>
    <row r="33" spans="1:9" s="65" customFormat="1" ht="20.100000000000001" customHeight="1">
      <c r="B33" s="182" t="s">
        <v>249</v>
      </c>
      <c r="C33" s="183"/>
      <c r="D33" s="183"/>
      <c r="E33" s="183"/>
      <c r="F33" s="183"/>
      <c r="G33" s="183"/>
      <c r="H33" s="183"/>
      <c r="I33" s="183"/>
    </row>
    <row r="34" spans="1:9" s="65" customFormat="1" ht="20.100000000000001" customHeight="1">
      <c r="B34" s="177" t="s">
        <v>355</v>
      </c>
      <c r="C34" s="64" t="s">
        <v>105</v>
      </c>
      <c r="D34" s="69">
        <v>60</v>
      </c>
      <c r="E34" s="68">
        <v>6.3</v>
      </c>
      <c r="F34" s="68">
        <v>2.82</v>
      </c>
      <c r="G34" s="68">
        <v>5.75</v>
      </c>
      <c r="H34" s="68">
        <v>73</v>
      </c>
      <c r="I34" s="68">
        <v>0.25</v>
      </c>
    </row>
    <row r="35" spans="1:9" s="65" customFormat="1" ht="20.100000000000001" customHeight="1">
      <c r="B35" s="147" t="s">
        <v>280</v>
      </c>
      <c r="C35" s="64" t="s">
        <v>106</v>
      </c>
      <c r="D35" s="69">
        <v>90</v>
      </c>
      <c r="E35" s="68">
        <v>2</v>
      </c>
      <c r="F35" s="68">
        <v>2.1</v>
      </c>
      <c r="G35" s="68">
        <v>11.3</v>
      </c>
      <c r="H35" s="68">
        <v>75</v>
      </c>
      <c r="I35" s="68">
        <v>5.3</v>
      </c>
    </row>
    <row r="36" spans="1:9" s="65" customFormat="1" ht="20.100000000000001" customHeight="1">
      <c r="B36" s="83" t="s">
        <v>108</v>
      </c>
      <c r="C36" s="64" t="s">
        <v>107</v>
      </c>
      <c r="D36" s="69">
        <v>100</v>
      </c>
      <c r="E36" s="68">
        <v>2.06</v>
      </c>
      <c r="F36" s="68">
        <v>3.24</v>
      </c>
      <c r="G36" s="68">
        <v>9.42</v>
      </c>
      <c r="H36" s="68">
        <v>75.099999999999994</v>
      </c>
      <c r="I36" s="68">
        <v>17.16</v>
      </c>
    </row>
    <row r="37" spans="1:9" ht="21.75" customHeight="1">
      <c r="A37" s="33">
        <v>1</v>
      </c>
      <c r="B37" s="83"/>
      <c r="C37" s="64" t="s">
        <v>12</v>
      </c>
      <c r="D37" s="35">
        <v>20</v>
      </c>
      <c r="E37" s="68">
        <v>1.3</v>
      </c>
      <c r="F37" s="68">
        <v>0.2</v>
      </c>
      <c r="G37" s="68">
        <v>6.7</v>
      </c>
      <c r="H37" s="68">
        <v>39</v>
      </c>
      <c r="I37" s="68">
        <v>0</v>
      </c>
    </row>
    <row r="38" spans="1:9" s="65" customFormat="1" ht="21.75" customHeight="1">
      <c r="B38" s="103"/>
      <c r="C38" s="64" t="s">
        <v>96</v>
      </c>
      <c r="D38" s="104">
        <v>10</v>
      </c>
      <c r="E38" s="68">
        <v>0.7</v>
      </c>
      <c r="F38" s="68">
        <v>7.0000000000000007E-2</v>
      </c>
      <c r="G38" s="68">
        <v>4.7</v>
      </c>
      <c r="H38" s="68">
        <v>22.7</v>
      </c>
      <c r="I38" s="68">
        <v>0</v>
      </c>
    </row>
    <row r="39" spans="1:9" s="65" customFormat="1" ht="21.75" customHeight="1">
      <c r="B39" s="176" t="s">
        <v>341</v>
      </c>
      <c r="C39" s="64" t="s">
        <v>35</v>
      </c>
      <c r="D39" s="106">
        <v>180</v>
      </c>
      <c r="E39" s="68">
        <v>0.18</v>
      </c>
      <c r="F39" s="68">
        <v>0.09</v>
      </c>
      <c r="G39" s="68">
        <v>10.98</v>
      </c>
      <c r="H39" s="68">
        <v>44.1</v>
      </c>
      <c r="I39" s="68">
        <v>1.44</v>
      </c>
    </row>
    <row r="40" spans="1:9" s="65" customFormat="1" ht="20.100000000000001" customHeight="1">
      <c r="A40" s="65">
        <v>1</v>
      </c>
      <c r="B40" s="66"/>
      <c r="C40" s="113" t="s">
        <v>10</v>
      </c>
      <c r="D40" s="67">
        <f t="shared" ref="D40:I40" si="3">SUM(D34:D39)</f>
        <v>460</v>
      </c>
      <c r="E40" s="83">
        <f t="shared" si="3"/>
        <v>12.540000000000001</v>
      </c>
      <c r="F40" s="103">
        <f t="shared" si="3"/>
        <v>8.52</v>
      </c>
      <c r="G40" s="103">
        <f t="shared" si="3"/>
        <v>48.850000000000009</v>
      </c>
      <c r="H40" s="103">
        <f t="shared" si="3"/>
        <v>328.90000000000003</v>
      </c>
      <c r="I40" s="103">
        <f t="shared" si="3"/>
        <v>24.150000000000002</v>
      </c>
    </row>
    <row r="41" spans="1:9" ht="20.100000000000001" customHeight="1">
      <c r="A41" s="33">
        <v>1</v>
      </c>
      <c r="B41" s="119"/>
      <c r="C41" s="119" t="s">
        <v>13</v>
      </c>
      <c r="D41" s="121">
        <f>D14+D17+D27+D32+D40</f>
        <v>1975</v>
      </c>
      <c r="E41" s="119">
        <f>E14+E17+E27+E32+E40</f>
        <v>70.83</v>
      </c>
      <c r="F41" s="119">
        <f t="shared" ref="F41:I41" si="4">F14+F17+F27+F32+F40</f>
        <v>75.47999999999999</v>
      </c>
      <c r="G41" s="119">
        <f t="shared" si="4"/>
        <v>210.35000000000002</v>
      </c>
      <c r="H41" s="119">
        <f t="shared" si="4"/>
        <v>1832.21</v>
      </c>
      <c r="I41" s="119">
        <f t="shared" si="4"/>
        <v>42.489999999999995</v>
      </c>
    </row>
    <row r="42" spans="1:9" s="65" customFormat="1" ht="20.100000000000001" customHeight="1">
      <c r="B42" s="122"/>
      <c r="C42" s="122" t="s">
        <v>141</v>
      </c>
      <c r="D42" s="123"/>
      <c r="E42" s="122">
        <v>42</v>
      </c>
      <c r="F42" s="122">
        <v>47</v>
      </c>
      <c r="G42" s="122">
        <v>203</v>
      </c>
      <c r="H42" s="122">
        <v>1400</v>
      </c>
      <c r="I42" s="122">
        <v>45</v>
      </c>
    </row>
    <row r="43" spans="1:9" s="65" customFormat="1" ht="20.100000000000001" customHeight="1">
      <c r="B43" s="124"/>
      <c r="C43" s="124" t="s">
        <v>142</v>
      </c>
      <c r="D43" s="125"/>
      <c r="E43" s="124">
        <f>ROUND(E41/E42*100-100,2)</f>
        <v>68.64</v>
      </c>
      <c r="F43" s="124">
        <f t="shared" ref="F43:I43" si="5">ROUND(F41/F42*100-100,2)</f>
        <v>60.6</v>
      </c>
      <c r="G43" s="124">
        <f t="shared" si="5"/>
        <v>3.62</v>
      </c>
      <c r="H43" s="124">
        <f t="shared" si="5"/>
        <v>30.87</v>
      </c>
      <c r="I43" s="124">
        <f t="shared" si="5"/>
        <v>-5.58</v>
      </c>
    </row>
    <row r="44" spans="1:9" s="28" customFormat="1" ht="15" customHeight="1">
      <c r="B44" s="38"/>
      <c r="C44" s="38"/>
      <c r="D44" s="39"/>
      <c r="E44" s="40"/>
      <c r="F44" s="40"/>
      <c r="G44" s="40"/>
      <c r="H44" s="40"/>
      <c r="I44" s="40"/>
    </row>
    <row r="45" spans="1:9" s="28" customFormat="1" ht="20.100000000000001" customHeight="1">
      <c r="B45" s="29" t="s">
        <v>192</v>
      </c>
      <c r="C45" s="30"/>
      <c r="D45" s="39"/>
      <c r="E45" s="40"/>
      <c r="F45" s="40"/>
      <c r="G45" s="40"/>
      <c r="H45" s="40"/>
      <c r="I45" s="40"/>
    </row>
    <row r="46" spans="1:9" s="28" customFormat="1" ht="20.100000000000001" customHeight="1">
      <c r="B46" s="29" t="s">
        <v>70</v>
      </c>
      <c r="C46" s="30"/>
      <c r="D46" s="39"/>
      <c r="E46" s="40"/>
      <c r="F46" s="40"/>
      <c r="G46" s="40"/>
      <c r="H46" s="40"/>
      <c r="I46" s="40"/>
    </row>
    <row r="47" spans="1:9" s="28" customFormat="1" ht="20.100000000000001" customHeight="1">
      <c r="B47" s="29" t="s">
        <v>185</v>
      </c>
      <c r="C47" s="30"/>
      <c r="D47" s="39"/>
      <c r="E47" s="40"/>
      <c r="F47" s="40"/>
      <c r="G47" s="40"/>
      <c r="H47" s="40"/>
      <c r="I47" s="40"/>
    </row>
    <row r="48" spans="1:9" s="28" customFormat="1">
      <c r="B48" s="29" t="s">
        <v>146</v>
      </c>
      <c r="C48" s="30"/>
      <c r="D48" s="31"/>
      <c r="E48" s="32"/>
      <c r="F48" s="32"/>
      <c r="G48" s="32"/>
      <c r="H48" s="32"/>
      <c r="I48" s="32"/>
    </row>
    <row r="49" spans="1:9" s="28" customFormat="1" ht="41.25" customHeight="1">
      <c r="B49" s="189" t="s">
        <v>0</v>
      </c>
      <c r="C49" s="189" t="s">
        <v>1</v>
      </c>
      <c r="D49" s="190" t="s">
        <v>2</v>
      </c>
      <c r="E49" s="188" t="s">
        <v>3</v>
      </c>
      <c r="F49" s="188"/>
      <c r="G49" s="188"/>
      <c r="H49" s="188" t="s">
        <v>4</v>
      </c>
      <c r="I49" s="101"/>
    </row>
    <row r="50" spans="1:9" s="28" customFormat="1" ht="41.25" customHeight="1">
      <c r="B50" s="189"/>
      <c r="C50" s="189"/>
      <c r="D50" s="190"/>
      <c r="E50" s="34" t="s">
        <v>5</v>
      </c>
      <c r="F50" s="34" t="s">
        <v>6</v>
      </c>
      <c r="G50" s="34" t="s">
        <v>7</v>
      </c>
      <c r="H50" s="188"/>
      <c r="I50" s="34" t="s">
        <v>8</v>
      </c>
    </row>
    <row r="51" spans="1:9" ht="20.100000000000001" customHeight="1">
      <c r="A51" s="33">
        <v>2</v>
      </c>
      <c r="B51" s="188" t="s">
        <v>224</v>
      </c>
      <c r="C51" s="188"/>
      <c r="D51" s="188"/>
      <c r="E51" s="188"/>
      <c r="F51" s="188"/>
      <c r="G51" s="188"/>
      <c r="H51" s="188"/>
      <c r="I51" s="188"/>
    </row>
    <row r="52" spans="1:9" ht="36.6" customHeight="1">
      <c r="A52" s="33">
        <v>2</v>
      </c>
      <c r="B52" s="106" t="s">
        <v>111</v>
      </c>
      <c r="C52" s="49" t="s">
        <v>110</v>
      </c>
      <c r="D52" s="69" t="s">
        <v>148</v>
      </c>
      <c r="E52" s="37">
        <v>5.65</v>
      </c>
      <c r="F52" s="37">
        <v>6.1</v>
      </c>
      <c r="G52" s="37">
        <v>27.28</v>
      </c>
      <c r="H52" s="37">
        <v>190.54</v>
      </c>
      <c r="I52" s="37">
        <v>0.88</v>
      </c>
    </row>
    <row r="53" spans="1:9" ht="18" customHeight="1">
      <c r="A53" s="33">
        <v>2</v>
      </c>
      <c r="B53" s="69" t="s">
        <v>265</v>
      </c>
      <c r="C53" s="49" t="s">
        <v>290</v>
      </c>
      <c r="D53" s="69">
        <v>7</v>
      </c>
      <c r="E53" s="68">
        <v>1.6</v>
      </c>
      <c r="F53" s="68">
        <v>2.1</v>
      </c>
      <c r="G53" s="68">
        <v>0</v>
      </c>
      <c r="H53" s="68">
        <v>26</v>
      </c>
      <c r="I53" s="68">
        <v>0</v>
      </c>
    </row>
    <row r="54" spans="1:9" ht="18" customHeight="1">
      <c r="A54" s="33">
        <v>2</v>
      </c>
      <c r="B54" s="95"/>
      <c r="C54" s="49" t="s">
        <v>96</v>
      </c>
      <c r="D54" s="67">
        <v>20</v>
      </c>
      <c r="E54" s="37">
        <v>1.3</v>
      </c>
      <c r="F54" s="68">
        <v>0.1</v>
      </c>
      <c r="G54" s="68">
        <v>9.3000000000000007</v>
      </c>
      <c r="H54" s="68">
        <v>45</v>
      </c>
      <c r="I54" s="68">
        <v>0</v>
      </c>
    </row>
    <row r="55" spans="1:9" s="65" customFormat="1" ht="18" customHeight="1">
      <c r="B55" s="167" t="s">
        <v>308</v>
      </c>
      <c r="C55" s="49" t="s">
        <v>117</v>
      </c>
      <c r="D55" s="106">
        <v>150</v>
      </c>
      <c r="E55" s="68">
        <v>2.65</v>
      </c>
      <c r="F55" s="68">
        <v>2.33</v>
      </c>
      <c r="G55" s="68">
        <v>9.31</v>
      </c>
      <c r="H55" s="68">
        <v>69</v>
      </c>
      <c r="I55" s="68">
        <v>1.19</v>
      </c>
    </row>
    <row r="56" spans="1:9" s="65" customFormat="1" ht="18" customHeight="1">
      <c r="A56" s="65">
        <v>2</v>
      </c>
      <c r="B56" s="105"/>
      <c r="C56" s="105" t="s">
        <v>10</v>
      </c>
      <c r="D56" s="106">
        <v>332</v>
      </c>
      <c r="E56" s="105">
        <f>E52+E53+E54+E55</f>
        <v>11.200000000000001</v>
      </c>
      <c r="F56" s="105">
        <f t="shared" ref="F56:I56" si="6">F52+F53+F54+F55</f>
        <v>10.629999999999999</v>
      </c>
      <c r="G56" s="105">
        <f t="shared" si="6"/>
        <v>45.89</v>
      </c>
      <c r="H56" s="105">
        <f t="shared" si="6"/>
        <v>330.53999999999996</v>
      </c>
      <c r="I56" s="105">
        <f t="shared" si="6"/>
        <v>2.0699999999999998</v>
      </c>
    </row>
    <row r="57" spans="1:9" s="65" customFormat="1" ht="18" customHeight="1">
      <c r="B57" s="182" t="s">
        <v>187</v>
      </c>
      <c r="C57" s="183"/>
      <c r="D57" s="183"/>
      <c r="E57" s="183"/>
      <c r="F57" s="183"/>
      <c r="G57" s="183"/>
      <c r="H57" s="183"/>
      <c r="I57" s="183"/>
    </row>
    <row r="58" spans="1:9" s="65" customFormat="1" ht="18" customHeight="1">
      <c r="B58" s="69" t="s">
        <v>311</v>
      </c>
      <c r="C58" s="64" t="s">
        <v>85</v>
      </c>
      <c r="D58" s="106">
        <v>100</v>
      </c>
      <c r="E58" s="68">
        <v>0.4</v>
      </c>
      <c r="F58" s="68">
        <v>0.4</v>
      </c>
      <c r="G58" s="68">
        <v>9.8000000000000007</v>
      </c>
      <c r="H58" s="68">
        <v>44</v>
      </c>
      <c r="I58" s="68">
        <v>10</v>
      </c>
    </row>
    <row r="59" spans="1:9" ht="18" customHeight="1">
      <c r="A59" s="33">
        <v>2</v>
      </c>
      <c r="B59" s="105"/>
      <c r="C59" s="105" t="s">
        <v>10</v>
      </c>
      <c r="D59" s="106">
        <f>D58</f>
        <v>100</v>
      </c>
      <c r="E59" s="105">
        <f>E58</f>
        <v>0.4</v>
      </c>
      <c r="F59" s="105">
        <f t="shared" ref="F59:I59" si="7">F58</f>
        <v>0.4</v>
      </c>
      <c r="G59" s="105">
        <f t="shared" si="7"/>
        <v>9.8000000000000007</v>
      </c>
      <c r="H59" s="105">
        <f t="shared" si="7"/>
        <v>44</v>
      </c>
      <c r="I59" s="105">
        <f t="shared" si="7"/>
        <v>10</v>
      </c>
    </row>
    <row r="60" spans="1:9" ht="18" customHeight="1">
      <c r="A60" s="33">
        <v>2</v>
      </c>
      <c r="B60" s="182" t="s">
        <v>231</v>
      </c>
      <c r="C60" s="183"/>
      <c r="D60" s="183"/>
      <c r="E60" s="183"/>
      <c r="F60" s="183"/>
      <c r="G60" s="183"/>
      <c r="H60" s="183"/>
      <c r="I60" s="183"/>
    </row>
    <row r="61" spans="1:9" ht="18" customHeight="1">
      <c r="A61" s="33">
        <v>2</v>
      </c>
      <c r="B61" s="172" t="s">
        <v>314</v>
      </c>
      <c r="C61" s="64" t="s">
        <v>86</v>
      </c>
      <c r="D61" s="106">
        <v>40</v>
      </c>
      <c r="E61" s="41">
        <v>0.56000000000000005</v>
      </c>
      <c r="F61" s="41">
        <v>2.0299999999999998</v>
      </c>
      <c r="G61" s="41">
        <v>3.6</v>
      </c>
      <c r="H61" s="41">
        <v>34.96</v>
      </c>
      <c r="I61" s="41">
        <v>12.98</v>
      </c>
    </row>
    <row r="62" spans="1:9" s="65" customFormat="1" ht="17.45" customHeight="1">
      <c r="B62" s="69" t="s">
        <v>319</v>
      </c>
      <c r="C62" s="64" t="s">
        <v>49</v>
      </c>
      <c r="D62" s="135" t="s">
        <v>230</v>
      </c>
      <c r="E62" s="41">
        <v>5.3</v>
      </c>
      <c r="F62" s="41">
        <v>4.0999999999999996</v>
      </c>
      <c r="G62" s="41">
        <v>12.3</v>
      </c>
      <c r="H62" s="41">
        <v>108</v>
      </c>
      <c r="I62" s="41">
        <v>8.9</v>
      </c>
    </row>
    <row r="63" spans="1:9" s="65" customFormat="1" ht="19.899999999999999" customHeight="1">
      <c r="B63" s="69" t="s">
        <v>327</v>
      </c>
      <c r="C63" s="64" t="s">
        <v>112</v>
      </c>
      <c r="D63" s="141" t="s">
        <v>263</v>
      </c>
      <c r="E63" s="41">
        <v>8.64</v>
      </c>
      <c r="F63" s="41">
        <v>14.68</v>
      </c>
      <c r="G63" s="41">
        <v>15.04</v>
      </c>
      <c r="H63" s="41">
        <v>230.72</v>
      </c>
      <c r="I63" s="41">
        <v>15.03</v>
      </c>
    </row>
    <row r="64" spans="1:9" ht="29.45" customHeight="1">
      <c r="B64" s="176" t="s">
        <v>342</v>
      </c>
      <c r="C64" s="64" t="s">
        <v>162</v>
      </c>
      <c r="D64" s="35">
        <v>150</v>
      </c>
      <c r="E64" s="41">
        <v>0</v>
      </c>
      <c r="F64" s="41">
        <v>0</v>
      </c>
      <c r="G64" s="41">
        <v>10.01</v>
      </c>
      <c r="H64" s="41">
        <v>37</v>
      </c>
      <c r="I64" s="41">
        <v>0</v>
      </c>
    </row>
    <row r="65" spans="1:9" ht="18" customHeight="1">
      <c r="A65" s="33">
        <v>2</v>
      </c>
      <c r="B65" s="34"/>
      <c r="C65" s="64" t="s">
        <v>12</v>
      </c>
      <c r="D65" s="35">
        <v>20</v>
      </c>
      <c r="E65" s="41">
        <v>1.3</v>
      </c>
      <c r="F65" s="41">
        <v>0.2</v>
      </c>
      <c r="G65" s="41">
        <v>6.7</v>
      </c>
      <c r="H65" s="41">
        <v>39</v>
      </c>
      <c r="I65" s="41">
        <v>0</v>
      </c>
    </row>
    <row r="66" spans="1:9" ht="18" customHeight="1">
      <c r="A66" s="33">
        <v>2</v>
      </c>
      <c r="B66" s="34"/>
      <c r="C66" s="64" t="s">
        <v>89</v>
      </c>
      <c r="D66" s="35">
        <v>15</v>
      </c>
      <c r="E66" s="41">
        <v>1</v>
      </c>
      <c r="F66" s="41">
        <v>0.1</v>
      </c>
      <c r="G66" s="41">
        <v>7</v>
      </c>
      <c r="H66" s="41">
        <v>34</v>
      </c>
      <c r="I66" s="41">
        <v>0</v>
      </c>
    </row>
    <row r="67" spans="1:9" ht="18" customHeight="1">
      <c r="A67" s="33">
        <v>2</v>
      </c>
      <c r="B67" s="34"/>
      <c r="C67" s="34" t="s">
        <v>10</v>
      </c>
      <c r="D67" s="35">
        <v>560</v>
      </c>
      <c r="E67" s="34">
        <f>SUM(E61:E66)</f>
        <v>16.8</v>
      </c>
      <c r="F67" s="105">
        <f>SUM(F61:F66)</f>
        <v>21.11</v>
      </c>
      <c r="G67" s="105">
        <f>SUM(G61:G66)</f>
        <v>54.65</v>
      </c>
      <c r="H67" s="105">
        <f>SUM(H61:H66)</f>
        <v>483.68</v>
      </c>
      <c r="I67" s="105">
        <f>SUM(I61:I66)</f>
        <v>36.910000000000004</v>
      </c>
    </row>
    <row r="68" spans="1:9" ht="18" customHeight="1">
      <c r="B68" s="188" t="s">
        <v>222</v>
      </c>
      <c r="C68" s="188"/>
      <c r="D68" s="188"/>
      <c r="E68" s="188"/>
      <c r="F68" s="188"/>
      <c r="G68" s="188"/>
      <c r="H68" s="188"/>
      <c r="I68" s="188"/>
    </row>
    <row r="69" spans="1:9" s="65" customFormat="1" ht="18" customHeight="1">
      <c r="B69" s="83"/>
      <c r="C69" s="64" t="s">
        <v>186</v>
      </c>
      <c r="D69" s="69">
        <v>30</v>
      </c>
      <c r="E69" s="87">
        <v>1.59</v>
      </c>
      <c r="F69" s="87">
        <v>1.62</v>
      </c>
      <c r="G69" s="87">
        <v>20.85</v>
      </c>
      <c r="H69" s="87">
        <v>103.2</v>
      </c>
      <c r="I69" s="87">
        <v>0</v>
      </c>
    </row>
    <row r="70" spans="1:9" s="65" customFormat="1" ht="18" customHeight="1">
      <c r="B70" s="140" t="s">
        <v>258</v>
      </c>
      <c r="C70" s="64" t="s">
        <v>260</v>
      </c>
      <c r="D70" s="69" t="s">
        <v>149</v>
      </c>
      <c r="E70" s="87">
        <v>4.6399999999999997</v>
      </c>
      <c r="F70" s="87">
        <v>4</v>
      </c>
      <c r="G70" s="87">
        <v>10.84</v>
      </c>
      <c r="H70" s="87">
        <v>97.78</v>
      </c>
      <c r="I70" s="87">
        <v>1.1200000000000001</v>
      </c>
    </row>
    <row r="71" spans="1:9" s="65" customFormat="1" ht="18" customHeight="1">
      <c r="B71" s="83"/>
      <c r="C71" s="113" t="s">
        <v>10</v>
      </c>
      <c r="D71" s="69">
        <v>195</v>
      </c>
      <c r="E71" s="86">
        <f>SUM(E69:E70)</f>
        <v>6.2299999999999995</v>
      </c>
      <c r="F71" s="86">
        <f>SUM(F69:F70)</f>
        <v>5.62</v>
      </c>
      <c r="G71" s="86">
        <f>SUM(G69:G70)</f>
        <v>31.69</v>
      </c>
      <c r="H71" s="86">
        <f>SUM(H69:H70)</f>
        <v>200.98000000000002</v>
      </c>
      <c r="I71" s="86">
        <f>SUM(I69:I70)</f>
        <v>1.1200000000000001</v>
      </c>
    </row>
    <row r="72" spans="1:9" s="65" customFormat="1" ht="18" customHeight="1">
      <c r="B72" s="182" t="s">
        <v>250</v>
      </c>
      <c r="C72" s="183"/>
      <c r="D72" s="183"/>
      <c r="E72" s="183"/>
      <c r="F72" s="183"/>
      <c r="G72" s="183"/>
      <c r="H72" s="183"/>
      <c r="I72" s="183"/>
    </row>
    <row r="73" spans="1:9" s="65" customFormat="1" ht="18.75" customHeight="1">
      <c r="B73" s="147" t="s">
        <v>281</v>
      </c>
      <c r="C73" s="94" t="s">
        <v>114</v>
      </c>
      <c r="D73" s="69">
        <v>40</v>
      </c>
      <c r="E73" s="42">
        <v>0.7</v>
      </c>
      <c r="F73" s="42">
        <v>3.5</v>
      </c>
      <c r="G73" s="42">
        <v>3</v>
      </c>
      <c r="H73" s="42">
        <v>48</v>
      </c>
      <c r="I73" s="42">
        <v>2.7</v>
      </c>
    </row>
    <row r="74" spans="1:9" ht="26.25" customHeight="1">
      <c r="B74" s="174" t="s">
        <v>328</v>
      </c>
      <c r="C74" s="43" t="s">
        <v>261</v>
      </c>
      <c r="D74" s="44" t="s">
        <v>262</v>
      </c>
      <c r="E74" s="42">
        <v>9</v>
      </c>
      <c r="F74" s="42">
        <v>8.68</v>
      </c>
      <c r="G74" s="42">
        <v>24</v>
      </c>
      <c r="H74" s="42">
        <v>210</v>
      </c>
      <c r="I74" s="42">
        <v>4.7699999999999996</v>
      </c>
    </row>
    <row r="75" spans="1:9" s="65" customFormat="1" ht="18" customHeight="1">
      <c r="A75" s="65">
        <v>2</v>
      </c>
      <c r="B75" s="97"/>
      <c r="C75" s="43" t="s">
        <v>12</v>
      </c>
      <c r="D75" s="44">
        <v>20</v>
      </c>
      <c r="E75" s="42">
        <v>1.3</v>
      </c>
      <c r="F75" s="42">
        <v>0.2</v>
      </c>
      <c r="G75" s="42">
        <v>6.7</v>
      </c>
      <c r="H75" s="42">
        <v>39</v>
      </c>
      <c r="I75" s="42">
        <v>0</v>
      </c>
    </row>
    <row r="76" spans="1:9" ht="18" customHeight="1">
      <c r="A76" s="33">
        <v>2</v>
      </c>
      <c r="B76" s="92"/>
      <c r="C76" s="43" t="s">
        <v>96</v>
      </c>
      <c r="D76" s="44">
        <v>20</v>
      </c>
      <c r="E76" s="42">
        <v>1.3</v>
      </c>
      <c r="F76" s="42">
        <v>0.1</v>
      </c>
      <c r="G76" s="42">
        <v>9.3000000000000007</v>
      </c>
      <c r="H76" s="42">
        <v>45</v>
      </c>
      <c r="I76" s="42">
        <v>0</v>
      </c>
    </row>
    <row r="77" spans="1:9" s="65" customFormat="1" ht="18" customHeight="1">
      <c r="B77" s="176" t="s">
        <v>310</v>
      </c>
      <c r="C77" s="43" t="s">
        <v>115</v>
      </c>
      <c r="D77" s="44" t="s">
        <v>148</v>
      </c>
      <c r="E77" s="42">
        <v>0.01</v>
      </c>
      <c r="F77" s="42">
        <v>0.01</v>
      </c>
      <c r="G77" s="42">
        <v>4.99</v>
      </c>
      <c r="H77" s="42">
        <v>19.95</v>
      </c>
      <c r="I77" s="42">
        <v>0.02</v>
      </c>
    </row>
    <row r="78" spans="1:9" ht="18" customHeight="1">
      <c r="A78" s="33">
        <v>2</v>
      </c>
      <c r="B78" s="37"/>
      <c r="C78" s="34" t="s">
        <v>10</v>
      </c>
      <c r="D78" s="35">
        <v>380</v>
      </c>
      <c r="E78" s="34">
        <f>SUM(E73:E77)</f>
        <v>12.31</v>
      </c>
      <c r="F78" s="105">
        <f>SUM(F73:F77)</f>
        <v>12.489999999999998</v>
      </c>
      <c r="G78" s="105">
        <f>SUM(G73:G77)</f>
        <v>47.99</v>
      </c>
      <c r="H78" s="105">
        <f>SUM(H73:H77)</f>
        <v>361.95</v>
      </c>
      <c r="I78" s="105">
        <f>SUM(I73:I77)</f>
        <v>7.4899999999999993</v>
      </c>
    </row>
    <row r="79" spans="1:9" ht="18" customHeight="1">
      <c r="A79" s="33">
        <v>2</v>
      </c>
      <c r="B79" s="37"/>
      <c r="C79" s="34" t="s">
        <v>14</v>
      </c>
      <c r="D79" s="35">
        <f>D78+D71+D67+D59+D56</f>
        <v>1567</v>
      </c>
      <c r="E79" s="34">
        <f>E56+E59+E67+E71+E78</f>
        <v>46.940000000000005</v>
      </c>
      <c r="F79" s="83">
        <f>F56+F59+F67+F71+F78</f>
        <v>50.25</v>
      </c>
      <c r="G79" s="83">
        <f>G56+G59+G67+G71+G78</f>
        <v>190.02</v>
      </c>
      <c r="H79" s="83">
        <f>H56+H59+H67+H71+H78</f>
        <v>1421.15</v>
      </c>
      <c r="I79" s="83">
        <f>I56+I59+I67+I71+I78</f>
        <v>57.59</v>
      </c>
    </row>
    <row r="80" spans="1:9" s="65" customFormat="1" ht="20.100000000000001" customHeight="1">
      <c r="B80" s="122"/>
      <c r="C80" s="122" t="s">
        <v>141</v>
      </c>
      <c r="D80" s="123"/>
      <c r="E80" s="122">
        <v>42</v>
      </c>
      <c r="F80" s="122">
        <v>47</v>
      </c>
      <c r="G80" s="122">
        <v>203</v>
      </c>
      <c r="H80" s="122">
        <v>1400</v>
      </c>
      <c r="I80" s="122">
        <v>45</v>
      </c>
    </row>
    <row r="81" spans="1:9" s="65" customFormat="1" ht="20.100000000000001" customHeight="1">
      <c r="B81" s="124"/>
      <c r="C81" s="124" t="s">
        <v>142</v>
      </c>
      <c r="D81" s="125"/>
      <c r="E81" s="124">
        <f>ROUND(E79/E80*100-100,2)</f>
        <v>11.76</v>
      </c>
      <c r="F81" s="124">
        <f t="shared" ref="F81:I81" si="8">ROUND(F79/F80*100-100,2)</f>
        <v>6.91</v>
      </c>
      <c r="G81" s="124">
        <f t="shared" si="8"/>
        <v>-6.39</v>
      </c>
      <c r="H81" s="124">
        <f t="shared" si="8"/>
        <v>1.51</v>
      </c>
      <c r="I81" s="124">
        <f t="shared" si="8"/>
        <v>27.98</v>
      </c>
    </row>
    <row r="82" spans="1:9" s="28" customFormat="1" ht="20.100000000000001" customHeight="1">
      <c r="B82" s="29" t="s">
        <v>193</v>
      </c>
      <c r="C82" s="30"/>
      <c r="D82" s="39"/>
      <c r="E82" s="40"/>
      <c r="F82" s="40"/>
      <c r="G82" s="40"/>
      <c r="H82" s="40"/>
      <c r="I82" s="40"/>
    </row>
    <row r="83" spans="1:9" s="28" customFormat="1" ht="20.100000000000001" customHeight="1">
      <c r="B83" s="29" t="s">
        <v>70</v>
      </c>
      <c r="C83" s="30"/>
      <c r="D83" s="39"/>
      <c r="E83" s="40"/>
      <c r="F83" s="40"/>
      <c r="G83" s="40"/>
      <c r="H83" s="40"/>
      <c r="I83" s="40"/>
    </row>
    <row r="84" spans="1:9" s="28" customFormat="1" ht="20.100000000000001" customHeight="1">
      <c r="B84" s="29" t="s">
        <v>185</v>
      </c>
      <c r="C84" s="30"/>
      <c r="D84" s="39"/>
      <c r="E84" s="40"/>
      <c r="F84" s="40"/>
      <c r="G84" s="40"/>
      <c r="H84" s="40"/>
      <c r="I84" s="40"/>
    </row>
    <row r="85" spans="1:9" s="28" customFormat="1">
      <c r="B85" s="29" t="s">
        <v>147</v>
      </c>
      <c r="C85" s="30"/>
      <c r="D85" s="31"/>
      <c r="E85" s="32"/>
      <c r="F85" s="32"/>
      <c r="G85" s="32"/>
      <c r="H85" s="32"/>
      <c r="I85" s="32"/>
    </row>
    <row r="86" spans="1:9" s="28" customFormat="1" ht="27" customHeight="1">
      <c r="B86" s="189" t="s">
        <v>0</v>
      </c>
      <c r="C86" s="189" t="s">
        <v>1</v>
      </c>
      <c r="D86" s="190" t="s">
        <v>2</v>
      </c>
      <c r="E86" s="188" t="s">
        <v>3</v>
      </c>
      <c r="F86" s="188"/>
      <c r="G86" s="188"/>
      <c r="H86" s="188" t="s">
        <v>4</v>
      </c>
      <c r="I86" s="101"/>
    </row>
    <row r="87" spans="1:9" s="28" customFormat="1" ht="37.5" customHeight="1">
      <c r="B87" s="189"/>
      <c r="C87" s="189"/>
      <c r="D87" s="190"/>
      <c r="E87" s="34" t="s">
        <v>5</v>
      </c>
      <c r="F87" s="34" t="s">
        <v>6</v>
      </c>
      <c r="G87" s="34" t="s">
        <v>7</v>
      </c>
      <c r="H87" s="188"/>
      <c r="I87" s="34" t="s">
        <v>8</v>
      </c>
    </row>
    <row r="88" spans="1:9" ht="18" customHeight="1">
      <c r="A88" s="33">
        <v>3</v>
      </c>
      <c r="B88" s="188" t="s">
        <v>233</v>
      </c>
      <c r="C88" s="188"/>
      <c r="D88" s="188"/>
      <c r="E88" s="188"/>
      <c r="F88" s="188"/>
      <c r="G88" s="188"/>
      <c r="H88" s="188"/>
      <c r="I88" s="188"/>
    </row>
    <row r="89" spans="1:9" ht="30.6" customHeight="1">
      <c r="A89" s="33">
        <v>3</v>
      </c>
      <c r="B89" s="34"/>
      <c r="C89" s="20"/>
      <c r="D89" s="69"/>
      <c r="E89" s="36"/>
      <c r="F89" s="36"/>
      <c r="G89" s="36"/>
      <c r="H89" s="36"/>
      <c r="I89" s="36"/>
    </row>
    <row r="90" spans="1:9" ht="24.75" customHeight="1">
      <c r="A90" s="33">
        <v>3</v>
      </c>
      <c r="B90" s="50" t="s">
        <v>127</v>
      </c>
      <c r="C90" s="64" t="s">
        <v>277</v>
      </c>
      <c r="D90" s="67" t="s">
        <v>148</v>
      </c>
      <c r="E90" s="36">
        <v>3.83</v>
      </c>
      <c r="F90" s="36">
        <v>5.36</v>
      </c>
      <c r="G90" s="36">
        <v>25.27</v>
      </c>
      <c r="H90" s="36">
        <v>164.8</v>
      </c>
      <c r="I90" s="36">
        <v>0.88</v>
      </c>
    </row>
    <row r="91" spans="1:9" s="65" customFormat="1" ht="23.25" customHeight="1">
      <c r="B91" s="50" t="s">
        <v>303</v>
      </c>
      <c r="C91" s="64" t="s">
        <v>152</v>
      </c>
      <c r="D91" s="108" t="s">
        <v>150</v>
      </c>
      <c r="E91" s="36">
        <v>6.42</v>
      </c>
      <c r="F91" s="36">
        <v>8.77</v>
      </c>
      <c r="G91" s="36">
        <v>3.96</v>
      </c>
      <c r="H91" s="36">
        <v>120</v>
      </c>
      <c r="I91" s="36">
        <v>0.21</v>
      </c>
    </row>
    <row r="92" spans="1:9" s="65" customFormat="1" ht="25.15" customHeight="1">
      <c r="B92" s="50"/>
      <c r="C92" s="64" t="s">
        <v>96</v>
      </c>
      <c r="D92" s="108">
        <v>20</v>
      </c>
      <c r="E92" s="36">
        <v>1.3</v>
      </c>
      <c r="F92" s="36">
        <v>0.1</v>
      </c>
      <c r="G92" s="36">
        <v>9.3000000000000007</v>
      </c>
      <c r="H92" s="36">
        <v>45</v>
      </c>
      <c r="I92" s="36">
        <v>0</v>
      </c>
    </row>
    <row r="93" spans="1:9" s="65" customFormat="1" ht="18" customHeight="1">
      <c r="A93" s="65">
        <v>3</v>
      </c>
      <c r="B93" s="167" t="s">
        <v>309</v>
      </c>
      <c r="C93" s="64" t="s">
        <v>36</v>
      </c>
      <c r="D93" s="67">
        <v>150</v>
      </c>
      <c r="E93" s="36">
        <v>3.15</v>
      </c>
      <c r="F93" s="36">
        <v>2.72</v>
      </c>
      <c r="G93" s="36">
        <v>8.9600000000000009</v>
      </c>
      <c r="H93" s="36">
        <v>77</v>
      </c>
      <c r="I93" s="36">
        <v>1.2</v>
      </c>
    </row>
    <row r="94" spans="1:9" s="65" customFormat="1" ht="18" customHeight="1">
      <c r="A94" s="65">
        <v>3</v>
      </c>
      <c r="B94" s="66"/>
      <c r="C94" s="66" t="s">
        <v>10</v>
      </c>
      <c r="D94" s="75">
        <v>390</v>
      </c>
      <c r="E94" s="66">
        <f>E89+E90+E93+E91+E92</f>
        <v>14.700000000000001</v>
      </c>
      <c r="F94" s="107">
        <f t="shared" ref="F94:I94" si="9">F89+F90+F93+F91+F92</f>
        <v>16.950000000000003</v>
      </c>
      <c r="G94" s="107">
        <f t="shared" si="9"/>
        <v>47.490000000000009</v>
      </c>
      <c r="H94" s="107">
        <f t="shared" si="9"/>
        <v>406.8</v>
      </c>
      <c r="I94" s="107">
        <f t="shared" si="9"/>
        <v>2.29</v>
      </c>
    </row>
    <row r="95" spans="1:9" s="65" customFormat="1" ht="18" customHeight="1">
      <c r="B95" s="182" t="s">
        <v>189</v>
      </c>
      <c r="C95" s="183"/>
      <c r="D95" s="183"/>
      <c r="E95" s="183"/>
      <c r="F95" s="183"/>
      <c r="G95" s="183"/>
      <c r="H95" s="183"/>
      <c r="I95" s="183"/>
    </row>
    <row r="96" spans="1:9" s="65" customFormat="1" ht="18" customHeight="1">
      <c r="B96" s="171" t="s">
        <v>312</v>
      </c>
      <c r="C96" s="64" t="s">
        <v>188</v>
      </c>
      <c r="D96" s="69">
        <v>150</v>
      </c>
      <c r="E96" s="36">
        <v>0.75</v>
      </c>
      <c r="F96" s="36">
        <v>0</v>
      </c>
      <c r="G96" s="36">
        <v>19.05</v>
      </c>
      <c r="H96" s="36">
        <v>79</v>
      </c>
      <c r="I96" s="36">
        <v>6</v>
      </c>
    </row>
    <row r="97" spans="1:9" ht="18" customHeight="1">
      <c r="B97" s="66"/>
      <c r="C97" s="113" t="s">
        <v>10</v>
      </c>
      <c r="D97" s="35">
        <f>D96</f>
        <v>150</v>
      </c>
      <c r="E97" s="50">
        <f>E96</f>
        <v>0.75</v>
      </c>
      <c r="F97" s="50">
        <f t="shared" ref="F97:I97" si="10">F96</f>
        <v>0</v>
      </c>
      <c r="G97" s="50">
        <f t="shared" si="10"/>
        <v>19.05</v>
      </c>
      <c r="H97" s="50">
        <f t="shared" si="10"/>
        <v>79</v>
      </c>
      <c r="I97" s="50">
        <f t="shared" si="10"/>
        <v>6</v>
      </c>
    </row>
    <row r="98" spans="1:9" ht="18" customHeight="1">
      <c r="A98" s="33">
        <v>3</v>
      </c>
      <c r="B98" s="188" t="s">
        <v>297</v>
      </c>
      <c r="C98" s="188"/>
      <c r="D98" s="188"/>
      <c r="E98" s="188"/>
      <c r="F98" s="188"/>
      <c r="G98" s="188"/>
      <c r="H98" s="188"/>
      <c r="I98" s="188"/>
    </row>
    <row r="99" spans="1:9" s="65" customFormat="1" ht="18" customHeight="1">
      <c r="B99" s="69" t="s">
        <v>315</v>
      </c>
      <c r="C99" s="64" t="s">
        <v>128</v>
      </c>
      <c r="D99" s="69">
        <v>40</v>
      </c>
      <c r="E99" s="36">
        <v>0.94</v>
      </c>
      <c r="F99" s="36">
        <v>1.84</v>
      </c>
      <c r="G99" s="36">
        <v>4.93</v>
      </c>
      <c r="H99" s="36">
        <v>40</v>
      </c>
      <c r="I99" s="36">
        <v>2.69</v>
      </c>
    </row>
    <row r="100" spans="1:9" ht="18" customHeight="1">
      <c r="B100" s="172" t="s">
        <v>320</v>
      </c>
      <c r="C100" s="64" t="s">
        <v>286</v>
      </c>
      <c r="D100" s="69" t="s">
        <v>232</v>
      </c>
      <c r="E100" s="68">
        <v>1.25</v>
      </c>
      <c r="F100" s="68">
        <v>3.5</v>
      </c>
      <c r="G100" s="68">
        <v>6.1</v>
      </c>
      <c r="H100" s="68">
        <v>61</v>
      </c>
      <c r="I100" s="68">
        <v>13.29</v>
      </c>
    </row>
    <row r="101" spans="1:9" ht="31.9" customHeight="1">
      <c r="B101" s="174" t="s">
        <v>329</v>
      </c>
      <c r="C101" s="64" t="s">
        <v>118</v>
      </c>
      <c r="D101" s="69">
        <v>60</v>
      </c>
      <c r="E101" s="68">
        <v>7.64</v>
      </c>
      <c r="F101" s="68">
        <v>10.93</v>
      </c>
      <c r="G101" s="68">
        <v>6.23</v>
      </c>
      <c r="H101" s="68">
        <v>154</v>
      </c>
      <c r="I101" s="68">
        <v>0.24</v>
      </c>
    </row>
    <row r="102" spans="1:9" ht="18" customHeight="1">
      <c r="B102" s="176" t="s">
        <v>337</v>
      </c>
      <c r="C102" s="64" t="s">
        <v>271</v>
      </c>
      <c r="D102" s="35">
        <v>110</v>
      </c>
      <c r="E102" s="68">
        <v>2.2400000000000002</v>
      </c>
      <c r="F102" s="68">
        <v>3.52</v>
      </c>
      <c r="G102" s="68">
        <v>15</v>
      </c>
      <c r="H102" s="68">
        <v>100.65</v>
      </c>
      <c r="I102" s="68">
        <v>13.31</v>
      </c>
    </row>
    <row r="103" spans="1:9" ht="20.25" customHeight="1">
      <c r="B103" s="176" t="s">
        <v>341</v>
      </c>
      <c r="C103" s="64" t="s">
        <v>35</v>
      </c>
      <c r="D103" s="35">
        <v>180</v>
      </c>
      <c r="E103" s="68">
        <v>0.18</v>
      </c>
      <c r="F103" s="68">
        <v>0.09</v>
      </c>
      <c r="G103" s="68">
        <v>10.98</v>
      </c>
      <c r="H103" s="68">
        <v>44.1</v>
      </c>
      <c r="I103" s="68">
        <v>1.44</v>
      </c>
    </row>
    <row r="104" spans="1:9" ht="18" customHeight="1">
      <c r="B104" s="66"/>
      <c r="C104" s="20" t="s">
        <v>12</v>
      </c>
      <c r="D104" s="35">
        <v>20</v>
      </c>
      <c r="E104" s="68">
        <v>1.3</v>
      </c>
      <c r="F104" s="68">
        <v>0.2</v>
      </c>
      <c r="G104" s="68">
        <v>6.7</v>
      </c>
      <c r="H104" s="68">
        <v>39</v>
      </c>
      <c r="I104" s="68">
        <v>0</v>
      </c>
    </row>
    <row r="105" spans="1:9" ht="18" customHeight="1">
      <c r="A105" s="33">
        <v>3</v>
      </c>
      <c r="B105" s="66"/>
      <c r="C105" s="20" t="s">
        <v>89</v>
      </c>
      <c r="D105" s="35">
        <v>10</v>
      </c>
      <c r="E105" s="68">
        <v>0.7</v>
      </c>
      <c r="F105" s="68">
        <v>7.0000000000000007E-2</v>
      </c>
      <c r="G105" s="68">
        <v>4.7</v>
      </c>
      <c r="H105" s="68">
        <v>22.7</v>
      </c>
      <c r="I105" s="68">
        <v>0</v>
      </c>
    </row>
    <row r="106" spans="1:9" ht="18" customHeight="1">
      <c r="A106" s="33">
        <v>3</v>
      </c>
      <c r="B106" s="34"/>
      <c r="C106" s="34" t="s">
        <v>10</v>
      </c>
      <c r="D106" s="35">
        <v>609</v>
      </c>
      <c r="E106" s="34">
        <f>SUM(E99:E105)</f>
        <v>14.25</v>
      </c>
      <c r="F106" s="98">
        <f>SUM(F99:F105)</f>
        <v>20.149999999999999</v>
      </c>
      <c r="G106" s="98">
        <f>SUM(G99:G105)</f>
        <v>54.64</v>
      </c>
      <c r="H106" s="98">
        <f>SUM(H99:H105)</f>
        <v>461.45</v>
      </c>
      <c r="I106" s="98">
        <f>SUM(I99:I105)</f>
        <v>30.970000000000002</v>
      </c>
    </row>
    <row r="107" spans="1:9" ht="18" customHeight="1">
      <c r="B107" s="188" t="s">
        <v>298</v>
      </c>
      <c r="C107" s="188"/>
      <c r="D107" s="188"/>
      <c r="E107" s="188"/>
      <c r="F107" s="188"/>
      <c r="G107" s="188"/>
      <c r="H107" s="188"/>
      <c r="I107" s="188"/>
    </row>
    <row r="108" spans="1:9" s="65" customFormat="1" ht="37.15" customHeight="1">
      <c r="B108" s="176" t="s">
        <v>347</v>
      </c>
      <c r="C108" s="64" t="s">
        <v>151</v>
      </c>
      <c r="D108" s="69">
        <v>50</v>
      </c>
      <c r="E108" s="68">
        <v>6.3</v>
      </c>
      <c r="F108" s="68">
        <v>2.85</v>
      </c>
      <c r="G108" s="68">
        <v>18.149999999999999</v>
      </c>
      <c r="H108" s="68">
        <v>123</v>
      </c>
      <c r="I108" s="68">
        <v>0.05</v>
      </c>
    </row>
    <row r="109" spans="1:9" s="65" customFormat="1" ht="18" customHeight="1">
      <c r="B109" s="176" t="s">
        <v>310</v>
      </c>
      <c r="C109" s="64" t="s">
        <v>115</v>
      </c>
      <c r="D109" s="69" t="s">
        <v>148</v>
      </c>
      <c r="E109" s="68">
        <v>0.01</v>
      </c>
      <c r="F109" s="68">
        <v>0.01</v>
      </c>
      <c r="G109" s="68">
        <v>4.99</v>
      </c>
      <c r="H109" s="68">
        <v>19.95</v>
      </c>
      <c r="I109" s="68">
        <v>0.02</v>
      </c>
    </row>
    <row r="110" spans="1:9" s="65" customFormat="1" ht="18" customHeight="1">
      <c r="B110" s="83"/>
      <c r="C110" s="83" t="s">
        <v>10</v>
      </c>
      <c r="D110" s="69">
        <v>205</v>
      </c>
      <c r="E110" s="83">
        <f>E108+E109</f>
        <v>6.31</v>
      </c>
      <c r="F110" s="83">
        <f t="shared" ref="F110:I110" si="11">F108+F109</f>
        <v>2.86</v>
      </c>
      <c r="G110" s="83">
        <f t="shared" si="11"/>
        <v>23.14</v>
      </c>
      <c r="H110" s="83">
        <f t="shared" si="11"/>
        <v>142.94999999999999</v>
      </c>
      <c r="I110" s="83">
        <f t="shared" si="11"/>
        <v>7.0000000000000007E-2</v>
      </c>
    </row>
    <row r="111" spans="1:9" s="65" customFormat="1" ht="18" customHeight="1">
      <c r="B111" s="182" t="s">
        <v>190</v>
      </c>
      <c r="C111" s="183"/>
      <c r="D111" s="183"/>
      <c r="E111" s="183"/>
      <c r="F111" s="183"/>
      <c r="G111" s="183"/>
      <c r="H111" s="183"/>
      <c r="I111" s="183"/>
    </row>
    <row r="112" spans="1:9" ht="30" customHeight="1">
      <c r="A112" s="33">
        <v>3</v>
      </c>
      <c r="B112" s="69" t="s">
        <v>356</v>
      </c>
      <c r="C112" s="20" t="s">
        <v>119</v>
      </c>
      <c r="D112" s="69">
        <v>60</v>
      </c>
      <c r="E112" s="37">
        <v>9.4600000000000009</v>
      </c>
      <c r="F112" s="68">
        <v>5.49</v>
      </c>
      <c r="G112" s="68">
        <v>2.4700000000000002</v>
      </c>
      <c r="H112" s="68">
        <v>96.75</v>
      </c>
      <c r="I112" s="68">
        <v>0.1</v>
      </c>
    </row>
    <row r="113" spans="1:9" s="65" customFormat="1" ht="18" customHeight="1">
      <c r="B113" s="174" t="s">
        <v>336</v>
      </c>
      <c r="C113" s="64" t="s">
        <v>285</v>
      </c>
      <c r="D113" s="96">
        <v>110</v>
      </c>
      <c r="E113" s="68">
        <v>3.37</v>
      </c>
      <c r="F113" s="68">
        <v>5.87</v>
      </c>
      <c r="G113" s="68">
        <v>13.42</v>
      </c>
      <c r="H113" s="68">
        <v>120.27</v>
      </c>
      <c r="I113" s="68">
        <v>17</v>
      </c>
    </row>
    <row r="114" spans="1:9" s="65" customFormat="1" ht="18" customHeight="1">
      <c r="B114" s="172" t="s">
        <v>316</v>
      </c>
      <c r="C114" s="64" t="s">
        <v>120</v>
      </c>
      <c r="D114" s="108">
        <v>40</v>
      </c>
      <c r="E114" s="68">
        <v>0.45</v>
      </c>
      <c r="F114" s="68">
        <v>2.0299999999999998</v>
      </c>
      <c r="G114" s="68">
        <v>6.5</v>
      </c>
      <c r="H114" s="68">
        <v>45</v>
      </c>
      <c r="I114" s="68">
        <v>0.78</v>
      </c>
    </row>
    <row r="115" spans="1:9" s="65" customFormat="1" ht="18" customHeight="1">
      <c r="A115" s="65">
        <v>3</v>
      </c>
      <c r="B115" s="69" t="s">
        <v>311</v>
      </c>
      <c r="C115" s="64" t="s">
        <v>85</v>
      </c>
      <c r="D115" s="82">
        <v>100</v>
      </c>
      <c r="E115" s="68">
        <v>0.4</v>
      </c>
      <c r="F115" s="68">
        <v>0.4</v>
      </c>
      <c r="G115" s="68">
        <v>9.8000000000000007</v>
      </c>
      <c r="H115" s="68">
        <v>44</v>
      </c>
      <c r="I115" s="68">
        <v>10</v>
      </c>
    </row>
    <row r="116" spans="1:9" s="65" customFormat="1" ht="18" customHeight="1">
      <c r="B116" s="69"/>
      <c r="C116" s="64" t="s">
        <v>12</v>
      </c>
      <c r="D116" s="108">
        <v>20</v>
      </c>
      <c r="E116" s="68">
        <v>1.3</v>
      </c>
      <c r="F116" s="68">
        <v>0.2</v>
      </c>
      <c r="G116" s="68">
        <v>6.7</v>
      </c>
      <c r="H116" s="68">
        <v>39</v>
      </c>
      <c r="I116" s="68">
        <v>0</v>
      </c>
    </row>
    <row r="117" spans="1:9" s="65" customFormat="1" ht="18" customHeight="1">
      <c r="B117" s="69"/>
      <c r="C117" s="64" t="s">
        <v>96</v>
      </c>
      <c r="D117" s="108">
        <v>20</v>
      </c>
      <c r="E117" s="68">
        <v>1.3</v>
      </c>
      <c r="F117" s="68">
        <v>0.1</v>
      </c>
      <c r="G117" s="68">
        <v>9.3000000000000007</v>
      </c>
      <c r="H117" s="68">
        <v>45</v>
      </c>
      <c r="I117" s="68">
        <v>0</v>
      </c>
    </row>
    <row r="118" spans="1:9" s="65" customFormat="1" ht="18" customHeight="1">
      <c r="B118" s="69" t="s">
        <v>340</v>
      </c>
      <c r="C118" s="64" t="s">
        <v>88</v>
      </c>
      <c r="D118" s="108">
        <v>180</v>
      </c>
      <c r="E118" s="68">
        <v>0.4</v>
      </c>
      <c r="F118" s="68">
        <v>0.02</v>
      </c>
      <c r="G118" s="68">
        <v>19</v>
      </c>
      <c r="H118" s="68">
        <v>77.7</v>
      </c>
      <c r="I118" s="68">
        <v>0.36</v>
      </c>
    </row>
    <row r="119" spans="1:9" ht="18" customHeight="1">
      <c r="A119" s="33">
        <v>3</v>
      </c>
      <c r="B119" s="34"/>
      <c r="C119" s="34" t="s">
        <v>10</v>
      </c>
      <c r="D119" s="35">
        <f t="shared" ref="D119:I119" si="12">SUM(D112:D118)</f>
        <v>530</v>
      </c>
      <c r="E119" s="83">
        <f t="shared" si="12"/>
        <v>16.68</v>
      </c>
      <c r="F119" s="107">
        <f t="shared" si="12"/>
        <v>14.109999999999998</v>
      </c>
      <c r="G119" s="107">
        <f t="shared" si="12"/>
        <v>67.19</v>
      </c>
      <c r="H119" s="107">
        <f t="shared" si="12"/>
        <v>467.71999999999997</v>
      </c>
      <c r="I119" s="107">
        <f t="shared" si="12"/>
        <v>28.240000000000002</v>
      </c>
    </row>
    <row r="120" spans="1:9" ht="18" customHeight="1">
      <c r="A120" s="33">
        <v>3</v>
      </c>
      <c r="B120" s="34"/>
      <c r="C120" s="34" t="s">
        <v>15</v>
      </c>
      <c r="D120" s="35">
        <f>D94+D97+D106+D110+D119</f>
        <v>1884</v>
      </c>
      <c r="E120" s="34">
        <f>E94+E97+E106+E119+E110</f>
        <v>52.690000000000005</v>
      </c>
      <c r="F120" s="98">
        <f>F94+F97+F106+F119+F110</f>
        <v>54.07</v>
      </c>
      <c r="G120" s="98">
        <f>G94+G97+G106+G119+G110</f>
        <v>211.51</v>
      </c>
      <c r="H120" s="98">
        <f>H94+H97+H106+H119+H110</f>
        <v>1557.92</v>
      </c>
      <c r="I120" s="98">
        <f>I94+I97+I106+I119+I110</f>
        <v>67.569999999999993</v>
      </c>
    </row>
    <row r="121" spans="1:9" s="65" customFormat="1" ht="20.100000000000001" customHeight="1">
      <c r="B121" s="122"/>
      <c r="C121" s="122" t="s">
        <v>141</v>
      </c>
      <c r="D121" s="123"/>
      <c r="E121" s="122">
        <v>42</v>
      </c>
      <c r="F121" s="122">
        <v>47</v>
      </c>
      <c r="G121" s="122">
        <v>203</v>
      </c>
      <c r="H121" s="122">
        <v>1400</v>
      </c>
      <c r="I121" s="122">
        <v>45</v>
      </c>
    </row>
    <row r="122" spans="1:9" s="65" customFormat="1" ht="20.100000000000001" customHeight="1">
      <c r="B122" s="124"/>
      <c r="C122" s="124" t="s">
        <v>142</v>
      </c>
      <c r="D122" s="125"/>
      <c r="E122" s="124">
        <f>ROUND(E120/E121*100-100,2)</f>
        <v>25.45</v>
      </c>
      <c r="F122" s="124">
        <f t="shared" ref="F122:I122" si="13">ROUND(F120/F121*100-100,2)</f>
        <v>15.04</v>
      </c>
      <c r="G122" s="124">
        <f t="shared" si="13"/>
        <v>4.1900000000000004</v>
      </c>
      <c r="H122" s="124">
        <f t="shared" si="13"/>
        <v>11.28</v>
      </c>
      <c r="I122" s="124">
        <f t="shared" si="13"/>
        <v>50.16</v>
      </c>
    </row>
    <row r="123" spans="1:9" s="28" customFormat="1" ht="20.100000000000001" customHeight="1">
      <c r="B123" s="29" t="s">
        <v>194</v>
      </c>
      <c r="C123" s="30"/>
      <c r="D123" s="39"/>
      <c r="E123" s="40"/>
      <c r="F123" s="40"/>
      <c r="G123" s="40"/>
      <c r="H123" s="40"/>
      <c r="I123" s="40"/>
    </row>
    <row r="124" spans="1:9" s="28" customFormat="1" ht="20.100000000000001" customHeight="1">
      <c r="B124" s="29" t="s">
        <v>70</v>
      </c>
      <c r="C124" s="30"/>
      <c r="D124" s="39"/>
      <c r="E124" s="40"/>
      <c r="F124" s="40"/>
      <c r="G124" s="40"/>
      <c r="H124" s="40"/>
      <c r="I124" s="40"/>
    </row>
    <row r="125" spans="1:9" s="28" customFormat="1" ht="20.100000000000001" customHeight="1">
      <c r="B125" s="29" t="s">
        <v>185</v>
      </c>
      <c r="C125" s="30"/>
      <c r="D125" s="39"/>
      <c r="E125" s="40"/>
      <c r="F125" s="40"/>
      <c r="G125" s="40"/>
      <c r="H125" s="40"/>
      <c r="I125" s="40"/>
    </row>
    <row r="126" spans="1:9" s="28" customFormat="1">
      <c r="B126" s="29" t="s">
        <v>145</v>
      </c>
      <c r="C126" s="30"/>
      <c r="D126" s="31"/>
      <c r="E126" s="32"/>
      <c r="F126" s="32"/>
      <c r="G126" s="32"/>
      <c r="H126" s="32"/>
      <c r="I126" s="32"/>
    </row>
    <row r="127" spans="1:9" s="28" customFormat="1" ht="20.100000000000001" customHeight="1">
      <c r="B127" s="38"/>
      <c r="C127" s="38"/>
      <c r="D127" s="39"/>
      <c r="E127" s="40"/>
      <c r="F127" s="40"/>
      <c r="G127" s="40"/>
      <c r="H127" s="40"/>
      <c r="I127" s="40"/>
    </row>
    <row r="128" spans="1:9" s="28" customFormat="1" ht="32.25" customHeight="1">
      <c r="B128" s="189" t="s">
        <v>0</v>
      </c>
      <c r="C128" s="189" t="s">
        <v>1</v>
      </c>
      <c r="D128" s="190" t="s">
        <v>2</v>
      </c>
      <c r="E128" s="188" t="s">
        <v>3</v>
      </c>
      <c r="F128" s="188"/>
      <c r="G128" s="188"/>
      <c r="H128" s="188" t="s">
        <v>4</v>
      </c>
      <c r="I128" s="101"/>
    </row>
    <row r="129" spans="1:9" s="28" customFormat="1" ht="33" customHeight="1">
      <c r="B129" s="189"/>
      <c r="C129" s="189"/>
      <c r="D129" s="190"/>
      <c r="E129" s="34" t="s">
        <v>5</v>
      </c>
      <c r="F129" s="34" t="s">
        <v>6</v>
      </c>
      <c r="G129" s="34" t="s">
        <v>7</v>
      </c>
      <c r="H129" s="188"/>
      <c r="I129" s="34" t="s">
        <v>8</v>
      </c>
    </row>
    <row r="130" spans="1:9" ht="18" customHeight="1">
      <c r="A130" s="33">
        <v>4</v>
      </c>
      <c r="B130" s="188" t="s">
        <v>369</v>
      </c>
      <c r="C130" s="188"/>
      <c r="D130" s="188"/>
      <c r="E130" s="188"/>
      <c r="F130" s="188"/>
      <c r="G130" s="188"/>
      <c r="H130" s="188"/>
      <c r="I130" s="188"/>
    </row>
    <row r="131" spans="1:9" ht="33.6" customHeight="1">
      <c r="A131" s="33">
        <v>4</v>
      </c>
      <c r="B131" s="34" t="s">
        <v>122</v>
      </c>
      <c r="C131" s="20" t="s">
        <v>121</v>
      </c>
      <c r="D131" s="69" t="s">
        <v>148</v>
      </c>
      <c r="E131" s="37">
        <v>6.84</v>
      </c>
      <c r="F131" s="68">
        <v>7.08</v>
      </c>
      <c r="G131" s="68">
        <v>26.54</v>
      </c>
      <c r="H131" s="68">
        <v>198.1</v>
      </c>
      <c r="I131" s="68">
        <v>1.24</v>
      </c>
    </row>
    <row r="132" spans="1:9" ht="18" customHeight="1">
      <c r="A132" s="33">
        <v>4</v>
      </c>
      <c r="B132" s="69" t="s">
        <v>266</v>
      </c>
      <c r="C132" s="20" t="s">
        <v>83</v>
      </c>
      <c r="D132" s="69" t="s">
        <v>267</v>
      </c>
      <c r="E132" s="68">
        <v>2.6</v>
      </c>
      <c r="F132" s="68">
        <v>2.2000000000000002</v>
      </c>
      <c r="G132" s="68">
        <v>7</v>
      </c>
      <c r="H132" s="68">
        <v>60</v>
      </c>
      <c r="I132" s="68">
        <v>0.04</v>
      </c>
    </row>
    <row r="133" spans="1:9" s="65" customFormat="1" ht="18" customHeight="1">
      <c r="B133" s="69"/>
      <c r="C133" s="64" t="s">
        <v>89</v>
      </c>
      <c r="D133" s="69">
        <v>10</v>
      </c>
      <c r="E133" s="68">
        <v>0.7</v>
      </c>
      <c r="F133" s="68">
        <v>7.0000000000000007E-2</v>
      </c>
      <c r="G133" s="68">
        <v>4.7</v>
      </c>
      <c r="H133" s="68">
        <v>22.7</v>
      </c>
      <c r="I133" s="68">
        <v>0</v>
      </c>
    </row>
    <row r="134" spans="1:9" ht="18" customHeight="1">
      <c r="A134" s="33">
        <v>4</v>
      </c>
      <c r="B134" s="167" t="s">
        <v>307</v>
      </c>
      <c r="C134" s="20" t="s">
        <v>97</v>
      </c>
      <c r="D134" s="35">
        <v>150</v>
      </c>
      <c r="E134" s="68">
        <v>2.34</v>
      </c>
      <c r="F134" s="68">
        <v>2</v>
      </c>
      <c r="G134" s="68">
        <v>10.63</v>
      </c>
      <c r="H134" s="68">
        <v>70</v>
      </c>
      <c r="I134" s="68">
        <v>0.98</v>
      </c>
    </row>
    <row r="135" spans="1:9" s="65" customFormat="1" ht="18" customHeight="1">
      <c r="A135" s="65">
        <v>4</v>
      </c>
      <c r="B135" s="66"/>
      <c r="C135" s="66" t="s">
        <v>10</v>
      </c>
      <c r="D135" s="67">
        <v>337</v>
      </c>
      <c r="E135" s="66">
        <f>SUM(E131:E134)</f>
        <v>12.479999999999999</v>
      </c>
      <c r="F135" s="107">
        <f>SUM(F131:F134)</f>
        <v>11.350000000000001</v>
      </c>
      <c r="G135" s="107">
        <f>SUM(G131:G134)</f>
        <v>48.870000000000005</v>
      </c>
      <c r="H135" s="107">
        <f>SUM(H131:H134)</f>
        <v>350.8</v>
      </c>
      <c r="I135" s="107">
        <f>SUM(I131:I134)</f>
        <v>2.2599999999999998</v>
      </c>
    </row>
    <row r="136" spans="1:9" s="65" customFormat="1" ht="18" customHeight="1">
      <c r="B136" s="182" t="s">
        <v>196</v>
      </c>
      <c r="C136" s="183"/>
      <c r="D136" s="183"/>
      <c r="E136" s="183"/>
      <c r="F136" s="183"/>
      <c r="G136" s="183"/>
      <c r="H136" s="183"/>
      <c r="I136" s="183"/>
    </row>
    <row r="137" spans="1:9" ht="18" customHeight="1">
      <c r="B137" s="69" t="s">
        <v>311</v>
      </c>
      <c r="C137" s="20" t="s">
        <v>85</v>
      </c>
      <c r="D137" s="35">
        <v>100</v>
      </c>
      <c r="E137" s="68">
        <v>0.4</v>
      </c>
      <c r="F137" s="68">
        <v>0.4</v>
      </c>
      <c r="G137" s="68">
        <v>9.8000000000000007</v>
      </c>
      <c r="H137" s="68">
        <v>44</v>
      </c>
      <c r="I137" s="68">
        <v>10</v>
      </c>
    </row>
    <row r="138" spans="1:9" ht="18" customHeight="1">
      <c r="B138" s="34"/>
      <c r="C138" s="66" t="s">
        <v>10</v>
      </c>
      <c r="D138" s="35">
        <f>D137</f>
        <v>100</v>
      </c>
      <c r="E138" s="34">
        <f>E137</f>
        <v>0.4</v>
      </c>
      <c r="F138" s="107">
        <f t="shared" ref="F138:I138" si="14">F137</f>
        <v>0.4</v>
      </c>
      <c r="G138" s="107">
        <f t="shared" si="14"/>
        <v>9.8000000000000007</v>
      </c>
      <c r="H138" s="107">
        <f t="shared" si="14"/>
        <v>44</v>
      </c>
      <c r="I138" s="107">
        <f t="shared" si="14"/>
        <v>10</v>
      </c>
    </row>
    <row r="139" spans="1:9" ht="18" customHeight="1">
      <c r="A139" s="33">
        <v>4</v>
      </c>
      <c r="B139" s="188" t="s">
        <v>368</v>
      </c>
      <c r="C139" s="188"/>
      <c r="D139" s="188"/>
      <c r="E139" s="188"/>
      <c r="F139" s="188"/>
      <c r="G139" s="188"/>
      <c r="H139" s="188"/>
      <c r="I139" s="188"/>
    </row>
    <row r="140" spans="1:9" s="65" customFormat="1" ht="18" customHeight="1">
      <c r="B140" s="147" t="s">
        <v>281</v>
      </c>
      <c r="C140" s="64" t="s">
        <v>114</v>
      </c>
      <c r="D140" s="69">
        <v>40</v>
      </c>
      <c r="E140" s="68">
        <v>0.7</v>
      </c>
      <c r="F140" s="68">
        <v>3.5</v>
      </c>
      <c r="G140" s="68">
        <v>3</v>
      </c>
      <c r="H140" s="68">
        <v>48</v>
      </c>
      <c r="I140" s="68">
        <v>2.7</v>
      </c>
    </row>
    <row r="141" spans="1:9" s="65" customFormat="1" ht="31.9" customHeight="1">
      <c r="B141" s="172" t="s">
        <v>321</v>
      </c>
      <c r="C141" s="64" t="s">
        <v>289</v>
      </c>
      <c r="D141" s="69" t="s">
        <v>292</v>
      </c>
      <c r="E141" s="68">
        <v>2.64</v>
      </c>
      <c r="F141" s="68">
        <v>2.25</v>
      </c>
      <c r="G141" s="68">
        <v>15.85</v>
      </c>
      <c r="H141" s="68">
        <v>95.3</v>
      </c>
      <c r="I141" s="68">
        <v>8.6</v>
      </c>
    </row>
    <row r="142" spans="1:9" s="65" customFormat="1" ht="18" customHeight="1">
      <c r="B142" s="174" t="s">
        <v>330</v>
      </c>
      <c r="C142" s="64" t="s">
        <v>202</v>
      </c>
      <c r="D142" s="69" t="s">
        <v>154</v>
      </c>
      <c r="E142" s="68">
        <v>15.12</v>
      </c>
      <c r="F142" s="68">
        <v>12.76</v>
      </c>
      <c r="G142" s="68">
        <v>26.76</v>
      </c>
      <c r="H142" s="68">
        <v>282</v>
      </c>
      <c r="I142" s="68">
        <v>0.41</v>
      </c>
    </row>
    <row r="143" spans="1:9" ht="30.6" customHeight="1">
      <c r="B143" s="176" t="s">
        <v>340</v>
      </c>
      <c r="C143" s="64" t="s">
        <v>88</v>
      </c>
      <c r="D143" s="67">
        <v>180</v>
      </c>
      <c r="E143" s="68">
        <v>0.4</v>
      </c>
      <c r="F143" s="68">
        <v>0.02</v>
      </c>
      <c r="G143" s="68">
        <v>19</v>
      </c>
      <c r="H143" s="68">
        <v>77.7</v>
      </c>
      <c r="I143" s="68">
        <v>0.36</v>
      </c>
    </row>
    <row r="144" spans="1:9" ht="18" customHeight="1">
      <c r="B144" s="98"/>
      <c r="C144" s="64" t="s">
        <v>12</v>
      </c>
      <c r="D144" s="69">
        <v>40</v>
      </c>
      <c r="E144" s="68">
        <v>2.6</v>
      </c>
      <c r="F144" s="68">
        <v>0.5</v>
      </c>
      <c r="G144" s="68">
        <v>13.4</v>
      </c>
      <c r="H144" s="68">
        <v>77</v>
      </c>
      <c r="I144" s="68">
        <v>0.36</v>
      </c>
    </row>
    <row r="145" spans="1:9" ht="19.5" customHeight="1">
      <c r="A145" s="33">
        <v>4</v>
      </c>
      <c r="B145" s="98"/>
      <c r="C145" s="64" t="s">
        <v>89</v>
      </c>
      <c r="D145" s="67">
        <v>15</v>
      </c>
      <c r="E145" s="68">
        <v>1</v>
      </c>
      <c r="F145" s="68">
        <v>0.1</v>
      </c>
      <c r="G145" s="68">
        <v>7</v>
      </c>
      <c r="H145" s="68">
        <v>34</v>
      </c>
      <c r="I145" s="68">
        <v>0</v>
      </c>
    </row>
    <row r="146" spans="1:9" ht="18" customHeight="1">
      <c r="A146" s="33">
        <v>4</v>
      </c>
      <c r="B146" s="34"/>
      <c r="C146" s="113" t="s">
        <v>10</v>
      </c>
      <c r="D146" s="35">
        <v>632</v>
      </c>
      <c r="E146" s="83">
        <f>SUM(E140:E145)</f>
        <v>22.46</v>
      </c>
      <c r="F146" s="107">
        <f>SUM(F140:F145)</f>
        <v>19.13</v>
      </c>
      <c r="G146" s="107">
        <f>SUM(G140:G145)</f>
        <v>85.01</v>
      </c>
      <c r="H146" s="107">
        <f>SUM(H140:H145)</f>
        <v>614</v>
      </c>
      <c r="I146" s="107">
        <f>SUM(I140:I145)</f>
        <v>12.43</v>
      </c>
    </row>
    <row r="147" spans="1:9" ht="18" customHeight="1">
      <c r="A147" s="33">
        <v>4</v>
      </c>
      <c r="B147" s="188" t="s">
        <v>294</v>
      </c>
      <c r="C147" s="188"/>
      <c r="D147" s="188"/>
      <c r="E147" s="188"/>
      <c r="F147" s="188"/>
      <c r="G147" s="188"/>
      <c r="H147" s="188"/>
      <c r="I147" s="188"/>
    </row>
    <row r="148" spans="1:9" s="65" customFormat="1" ht="21.75" customHeight="1">
      <c r="B148" s="83"/>
      <c r="C148" s="64" t="s">
        <v>113</v>
      </c>
      <c r="D148" s="69">
        <v>30</v>
      </c>
      <c r="E148" s="68">
        <v>2.2200000000000002</v>
      </c>
      <c r="F148" s="68">
        <v>2.85</v>
      </c>
      <c r="G148" s="68">
        <v>21.9</v>
      </c>
      <c r="H148" s="68">
        <v>102.1</v>
      </c>
      <c r="I148" s="68">
        <v>0</v>
      </c>
    </row>
    <row r="149" spans="1:9" s="65" customFormat="1" ht="18" customHeight="1">
      <c r="B149" s="176" t="s">
        <v>346</v>
      </c>
      <c r="C149" s="64" t="s">
        <v>92</v>
      </c>
      <c r="D149" s="69">
        <v>180</v>
      </c>
      <c r="E149" s="68">
        <v>5.48</v>
      </c>
      <c r="F149" s="68">
        <v>4.88</v>
      </c>
      <c r="G149" s="68">
        <v>9.07</v>
      </c>
      <c r="H149" s="68">
        <v>102</v>
      </c>
      <c r="I149" s="68">
        <v>2.46</v>
      </c>
    </row>
    <row r="150" spans="1:9" s="65" customFormat="1" ht="18" customHeight="1">
      <c r="B150" s="83"/>
      <c r="C150" s="113" t="s">
        <v>10</v>
      </c>
      <c r="D150" s="69">
        <f t="shared" ref="D150:I150" si="15">SUM(D148:D149)</f>
        <v>210</v>
      </c>
      <c r="E150" s="83">
        <f t="shared" si="15"/>
        <v>7.7000000000000011</v>
      </c>
      <c r="F150" s="83">
        <f t="shared" si="15"/>
        <v>7.73</v>
      </c>
      <c r="G150" s="83">
        <f t="shared" si="15"/>
        <v>30.97</v>
      </c>
      <c r="H150" s="83">
        <f t="shared" si="15"/>
        <v>204.1</v>
      </c>
      <c r="I150" s="83">
        <f t="shared" si="15"/>
        <v>2.46</v>
      </c>
    </row>
    <row r="151" spans="1:9" s="65" customFormat="1" ht="18" customHeight="1">
      <c r="B151" s="182" t="s">
        <v>367</v>
      </c>
      <c r="C151" s="183"/>
      <c r="D151" s="183"/>
      <c r="E151" s="183"/>
      <c r="F151" s="183"/>
      <c r="G151" s="183"/>
      <c r="H151" s="183"/>
      <c r="I151" s="183"/>
    </row>
    <row r="152" spans="1:9" s="65" customFormat="1" ht="18" customHeight="1">
      <c r="B152" s="147" t="s">
        <v>282</v>
      </c>
      <c r="C152" s="64" t="s">
        <v>124</v>
      </c>
      <c r="D152" s="69" t="s">
        <v>251</v>
      </c>
      <c r="E152" s="68">
        <v>20.399999999999999</v>
      </c>
      <c r="F152" s="68">
        <v>11.4</v>
      </c>
      <c r="G152" s="68">
        <v>21.6</v>
      </c>
      <c r="H152" s="68">
        <v>274</v>
      </c>
      <c r="I152" s="68">
        <v>0.2</v>
      </c>
    </row>
    <row r="153" spans="1:9" s="65" customFormat="1" ht="18" customHeight="1">
      <c r="B153" s="176" t="s">
        <v>331</v>
      </c>
      <c r="C153" s="64" t="s">
        <v>252</v>
      </c>
      <c r="D153" s="69">
        <v>30</v>
      </c>
      <c r="E153" s="68">
        <v>0.4</v>
      </c>
      <c r="F153" s="68">
        <v>1.5</v>
      </c>
      <c r="G153" s="68">
        <v>1.8</v>
      </c>
      <c r="H153" s="68">
        <v>22.3</v>
      </c>
      <c r="I153" s="68">
        <v>0.01</v>
      </c>
    </row>
    <row r="154" spans="1:9" s="65" customFormat="1" ht="18" customHeight="1">
      <c r="B154" s="169" t="s">
        <v>311</v>
      </c>
      <c r="C154" s="64" t="s">
        <v>195</v>
      </c>
      <c r="D154" s="69">
        <v>95</v>
      </c>
      <c r="E154" s="68">
        <v>0.38</v>
      </c>
      <c r="F154" s="68">
        <v>0.28000000000000003</v>
      </c>
      <c r="G154" s="68">
        <v>9.8000000000000007</v>
      </c>
      <c r="H154" s="68">
        <v>44</v>
      </c>
      <c r="I154" s="68">
        <v>4.75</v>
      </c>
    </row>
    <row r="155" spans="1:9" ht="18" customHeight="1">
      <c r="A155" s="33">
        <v>4</v>
      </c>
      <c r="B155" s="66"/>
      <c r="C155" s="64" t="s">
        <v>89</v>
      </c>
      <c r="D155" s="69">
        <v>20</v>
      </c>
      <c r="E155" s="68">
        <v>1.3</v>
      </c>
      <c r="F155" s="68">
        <v>0.1</v>
      </c>
      <c r="G155" s="68">
        <v>9.3000000000000007</v>
      </c>
      <c r="H155" s="68">
        <v>45</v>
      </c>
      <c r="I155" s="68">
        <v>0</v>
      </c>
    </row>
    <row r="156" spans="1:9" s="65" customFormat="1" ht="18" customHeight="1">
      <c r="B156" s="176" t="s">
        <v>308</v>
      </c>
      <c r="C156" s="64" t="s">
        <v>117</v>
      </c>
      <c r="D156" s="69">
        <v>150</v>
      </c>
      <c r="E156" s="68">
        <v>2.65</v>
      </c>
      <c r="F156" s="68">
        <v>2.33</v>
      </c>
      <c r="G156" s="68">
        <v>9.31</v>
      </c>
      <c r="H156" s="68">
        <v>69</v>
      </c>
      <c r="I156" s="68">
        <v>1.19</v>
      </c>
    </row>
    <row r="157" spans="1:9" ht="18" customHeight="1">
      <c r="A157" s="33">
        <v>4</v>
      </c>
      <c r="B157" s="34"/>
      <c r="C157" s="34" t="s">
        <v>10</v>
      </c>
      <c r="D157" s="75">
        <v>428</v>
      </c>
      <c r="E157" s="34">
        <f t="shared" ref="E157:I157" si="16">SUM(E152:E156)</f>
        <v>25.129999999999995</v>
      </c>
      <c r="F157" s="83">
        <f t="shared" si="16"/>
        <v>15.61</v>
      </c>
      <c r="G157" s="83">
        <f t="shared" si="16"/>
        <v>51.81</v>
      </c>
      <c r="H157" s="83">
        <f t="shared" si="16"/>
        <v>454.3</v>
      </c>
      <c r="I157" s="83">
        <f t="shared" si="16"/>
        <v>6.15</v>
      </c>
    </row>
    <row r="158" spans="1:9" ht="18" customHeight="1">
      <c r="A158" s="33">
        <v>4</v>
      </c>
      <c r="B158" s="34"/>
      <c r="C158" s="34" t="s">
        <v>16</v>
      </c>
      <c r="D158" s="84">
        <f>D135+D138+D146+D150+D157</f>
        <v>1707</v>
      </c>
      <c r="E158" s="34">
        <f>E135+E138+E146+E150+E157</f>
        <v>68.17</v>
      </c>
      <c r="F158" s="83">
        <f t="shared" ref="F158:I158" si="17">F135+F138+F146+F150+F157</f>
        <v>54.22</v>
      </c>
      <c r="G158" s="83">
        <f t="shared" si="17"/>
        <v>226.46</v>
      </c>
      <c r="H158" s="83">
        <f t="shared" si="17"/>
        <v>1667.1999999999998</v>
      </c>
      <c r="I158" s="83">
        <f t="shared" si="17"/>
        <v>33.299999999999997</v>
      </c>
    </row>
    <row r="159" spans="1:9" s="65" customFormat="1" ht="20.100000000000001" customHeight="1">
      <c r="B159" s="122"/>
      <c r="C159" s="122" t="s">
        <v>141</v>
      </c>
      <c r="D159" s="123"/>
      <c r="E159" s="122">
        <v>42</v>
      </c>
      <c r="F159" s="122">
        <v>47</v>
      </c>
      <c r="G159" s="122">
        <v>203</v>
      </c>
      <c r="H159" s="122">
        <v>1400</v>
      </c>
      <c r="I159" s="122">
        <v>45</v>
      </c>
    </row>
    <row r="160" spans="1:9" s="65" customFormat="1" ht="20.100000000000001" customHeight="1">
      <c r="B160" s="124"/>
      <c r="C160" s="124" t="s">
        <v>142</v>
      </c>
      <c r="D160" s="125"/>
      <c r="E160" s="124">
        <f>ROUND(E158/E159*100-100,2)</f>
        <v>62.31</v>
      </c>
      <c r="F160" s="124">
        <f t="shared" ref="F160:I160" si="18">ROUND(F158/F159*100-100,2)</f>
        <v>15.36</v>
      </c>
      <c r="G160" s="124">
        <f t="shared" si="18"/>
        <v>11.56</v>
      </c>
      <c r="H160" s="124">
        <f t="shared" si="18"/>
        <v>19.09</v>
      </c>
      <c r="I160" s="124">
        <f t="shared" si="18"/>
        <v>-26</v>
      </c>
    </row>
    <row r="161" spans="1:9" s="28" customFormat="1" ht="20.100000000000001" customHeight="1">
      <c r="B161" s="29" t="s">
        <v>197</v>
      </c>
      <c r="C161" s="30"/>
      <c r="D161" s="39"/>
      <c r="E161" s="40"/>
      <c r="F161" s="40"/>
      <c r="G161" s="40"/>
      <c r="H161" s="40"/>
      <c r="I161" s="40"/>
    </row>
    <row r="162" spans="1:9" s="28" customFormat="1" ht="20.100000000000001" customHeight="1">
      <c r="B162" s="29" t="s">
        <v>70</v>
      </c>
      <c r="C162" s="30"/>
      <c r="D162" s="39"/>
      <c r="E162" s="40"/>
      <c r="F162" s="40"/>
      <c r="G162" s="40"/>
      <c r="H162" s="40"/>
      <c r="I162" s="40"/>
    </row>
    <row r="163" spans="1:9" s="28" customFormat="1" ht="20.100000000000001" customHeight="1">
      <c r="B163" s="29" t="s">
        <v>198</v>
      </c>
      <c r="C163" s="30"/>
      <c r="D163" s="39"/>
      <c r="E163" s="40"/>
      <c r="F163" s="40"/>
      <c r="G163" s="40"/>
      <c r="H163" s="40"/>
      <c r="I163" s="40"/>
    </row>
    <row r="164" spans="1:9" s="28" customFormat="1">
      <c r="B164" s="29" t="s">
        <v>145</v>
      </c>
      <c r="C164" s="30"/>
      <c r="D164" s="31"/>
      <c r="E164" s="32"/>
      <c r="F164" s="32"/>
      <c r="G164" s="32"/>
      <c r="H164" s="32"/>
      <c r="I164" s="32"/>
    </row>
    <row r="165" spans="1:9" s="28" customFormat="1" ht="20.100000000000001" hidden="1" customHeight="1">
      <c r="B165" s="38"/>
      <c r="C165" s="38"/>
      <c r="D165" s="39"/>
      <c r="E165" s="40"/>
      <c r="F165" s="40"/>
      <c r="G165" s="40"/>
      <c r="H165" s="40"/>
      <c r="I165" s="40"/>
    </row>
    <row r="166" spans="1:9" s="28" customFormat="1" ht="39.75" customHeight="1">
      <c r="B166" s="189" t="s">
        <v>0</v>
      </c>
      <c r="C166" s="189" t="s">
        <v>1</v>
      </c>
      <c r="D166" s="190" t="s">
        <v>2</v>
      </c>
      <c r="E166" s="188" t="s">
        <v>3</v>
      </c>
      <c r="F166" s="188"/>
      <c r="G166" s="188"/>
      <c r="H166" s="188" t="s">
        <v>4</v>
      </c>
      <c r="I166" s="101"/>
    </row>
    <row r="167" spans="1:9" s="28" customFormat="1" ht="39.75" customHeight="1">
      <c r="B167" s="189"/>
      <c r="C167" s="189"/>
      <c r="D167" s="190"/>
      <c r="E167" s="34" t="s">
        <v>5</v>
      </c>
      <c r="F167" s="34" t="s">
        <v>6</v>
      </c>
      <c r="G167" s="34" t="s">
        <v>7</v>
      </c>
      <c r="H167" s="188"/>
      <c r="I167" s="34" t="s">
        <v>8</v>
      </c>
    </row>
    <row r="168" spans="1:9" ht="18" customHeight="1">
      <c r="A168" s="33">
        <v>5</v>
      </c>
      <c r="B168" s="188" t="s">
        <v>272</v>
      </c>
      <c r="C168" s="188"/>
      <c r="D168" s="188"/>
      <c r="E168" s="188"/>
      <c r="F168" s="188"/>
      <c r="G168" s="188"/>
      <c r="H168" s="188"/>
      <c r="I168" s="188"/>
    </row>
    <row r="169" spans="1:9" ht="34.9" customHeight="1">
      <c r="A169" s="33">
        <v>5</v>
      </c>
      <c r="B169" s="146" t="s">
        <v>116</v>
      </c>
      <c r="C169" s="64" t="s">
        <v>278</v>
      </c>
      <c r="D169" s="35" t="s">
        <v>148</v>
      </c>
      <c r="E169" s="37">
        <v>5.88</v>
      </c>
      <c r="F169" s="37">
        <v>6.96</v>
      </c>
      <c r="G169" s="37">
        <v>25.91</v>
      </c>
      <c r="H169" s="37">
        <v>190.54</v>
      </c>
      <c r="I169" s="37">
        <v>0.88</v>
      </c>
    </row>
    <row r="170" spans="1:9" ht="18" customHeight="1">
      <c r="A170" s="33">
        <v>5</v>
      </c>
      <c r="B170" s="167" t="s">
        <v>304</v>
      </c>
      <c r="C170" s="64" t="s">
        <v>126</v>
      </c>
      <c r="D170" s="35">
        <v>60</v>
      </c>
      <c r="E170" s="37">
        <v>4.5199999999999996</v>
      </c>
      <c r="F170" s="37">
        <v>5.81</v>
      </c>
      <c r="G170" s="37">
        <v>2.19</v>
      </c>
      <c r="H170" s="37">
        <v>79</v>
      </c>
      <c r="I170" s="37">
        <v>0.78</v>
      </c>
    </row>
    <row r="171" spans="1:9" s="65" customFormat="1" ht="18" customHeight="1">
      <c r="B171" s="111"/>
      <c r="C171" s="64" t="s">
        <v>96</v>
      </c>
      <c r="D171" s="112">
        <v>25</v>
      </c>
      <c r="E171" s="68">
        <v>1.7</v>
      </c>
      <c r="F171" s="68">
        <v>0.2</v>
      </c>
      <c r="G171" s="68">
        <v>11.7</v>
      </c>
      <c r="H171" s="68">
        <v>56</v>
      </c>
      <c r="I171" s="68">
        <v>0</v>
      </c>
    </row>
    <row r="172" spans="1:9" ht="18" customHeight="1">
      <c r="A172" s="33">
        <v>5</v>
      </c>
      <c r="B172" s="167" t="s">
        <v>310</v>
      </c>
      <c r="C172" s="64" t="s">
        <v>115</v>
      </c>
      <c r="D172" s="35" t="s">
        <v>148</v>
      </c>
      <c r="E172" s="37">
        <v>0.01</v>
      </c>
      <c r="F172" s="37">
        <v>0.01</v>
      </c>
      <c r="G172" s="37">
        <v>4.99</v>
      </c>
      <c r="H172" s="37">
        <v>19.95</v>
      </c>
      <c r="I172" s="37">
        <v>0.02</v>
      </c>
    </row>
    <row r="173" spans="1:9" s="65" customFormat="1" ht="18" customHeight="1">
      <c r="B173" s="66"/>
      <c r="C173" s="66" t="s">
        <v>10</v>
      </c>
      <c r="D173" s="67">
        <v>395</v>
      </c>
      <c r="E173" s="66">
        <f>E169+E170+E172+E171</f>
        <v>12.109999999999998</v>
      </c>
      <c r="F173" s="126">
        <f t="shared" ref="F173:I173" si="19">F169+F170+F172+F171</f>
        <v>12.979999999999999</v>
      </c>
      <c r="G173" s="126">
        <f t="shared" si="19"/>
        <v>44.790000000000006</v>
      </c>
      <c r="H173" s="126">
        <f t="shared" si="19"/>
        <v>345.48999999999995</v>
      </c>
      <c r="I173" s="126">
        <f t="shared" si="19"/>
        <v>1.6800000000000002</v>
      </c>
    </row>
    <row r="174" spans="1:9" s="65" customFormat="1" ht="18" customHeight="1">
      <c r="B174" s="188" t="s">
        <v>273</v>
      </c>
      <c r="C174" s="188"/>
      <c r="D174" s="188"/>
      <c r="E174" s="188"/>
      <c r="F174" s="188"/>
      <c r="G174" s="188"/>
      <c r="H174" s="188"/>
      <c r="I174" s="188"/>
    </row>
    <row r="175" spans="1:9" s="65" customFormat="1" ht="18" customHeight="1">
      <c r="B175" s="171" t="s">
        <v>312</v>
      </c>
      <c r="C175" s="64" t="s">
        <v>98</v>
      </c>
      <c r="D175" s="67">
        <v>150</v>
      </c>
      <c r="E175" s="68">
        <v>0.75</v>
      </c>
      <c r="F175" s="68">
        <v>0</v>
      </c>
      <c r="G175" s="68">
        <v>15.15</v>
      </c>
      <c r="H175" s="68">
        <v>64</v>
      </c>
      <c r="I175" s="68">
        <v>3</v>
      </c>
    </row>
    <row r="176" spans="1:9" ht="18" customHeight="1">
      <c r="B176" s="34"/>
      <c r="C176" s="66" t="s">
        <v>10</v>
      </c>
      <c r="D176" s="35">
        <f>D175</f>
        <v>150</v>
      </c>
      <c r="E176" s="66">
        <f>E175</f>
        <v>0.75</v>
      </c>
      <c r="F176" s="111">
        <f t="shared" ref="F176:I176" si="20">F175</f>
        <v>0</v>
      </c>
      <c r="G176" s="111">
        <f t="shared" si="20"/>
        <v>15.15</v>
      </c>
      <c r="H176" s="111">
        <f t="shared" si="20"/>
        <v>64</v>
      </c>
      <c r="I176" s="111">
        <f t="shared" si="20"/>
        <v>3</v>
      </c>
    </row>
    <row r="177" spans="1:9" ht="18" customHeight="1">
      <c r="A177" s="33">
        <v>5</v>
      </c>
      <c r="B177" s="188" t="s">
        <v>274</v>
      </c>
      <c r="C177" s="188"/>
      <c r="D177" s="188"/>
      <c r="E177" s="188"/>
      <c r="F177" s="188"/>
      <c r="G177" s="188"/>
      <c r="H177" s="188"/>
      <c r="I177" s="188"/>
    </row>
    <row r="178" spans="1:9" ht="18" customHeight="1">
      <c r="A178" s="33">
        <v>5</v>
      </c>
      <c r="B178" s="69" t="s">
        <v>315</v>
      </c>
      <c r="C178" s="64" t="s">
        <v>223</v>
      </c>
      <c r="D178" s="35">
        <v>40</v>
      </c>
      <c r="E178" s="37">
        <v>0.88</v>
      </c>
      <c r="F178" s="68">
        <v>1.84</v>
      </c>
      <c r="G178" s="68">
        <v>4.3499999999999996</v>
      </c>
      <c r="H178" s="68">
        <v>37.479999999999997</v>
      </c>
      <c r="I178" s="68">
        <v>2.0499999999999998</v>
      </c>
    </row>
    <row r="179" spans="1:9" ht="18" customHeight="1">
      <c r="B179" s="69" t="s">
        <v>291</v>
      </c>
      <c r="C179" s="64" t="s">
        <v>288</v>
      </c>
      <c r="D179" s="134">
        <v>180</v>
      </c>
      <c r="E179" s="68">
        <v>1.62</v>
      </c>
      <c r="F179" s="68">
        <v>3.85</v>
      </c>
      <c r="G179" s="68">
        <v>9.6</v>
      </c>
      <c r="H179" s="68">
        <v>79.47</v>
      </c>
      <c r="I179" s="68">
        <v>5.26</v>
      </c>
    </row>
    <row r="180" spans="1:9" s="65" customFormat="1" ht="18" customHeight="1">
      <c r="B180" s="69" t="s">
        <v>268</v>
      </c>
      <c r="C180" s="64" t="s">
        <v>253</v>
      </c>
      <c r="D180" s="99">
        <v>80</v>
      </c>
      <c r="E180" s="68">
        <v>16.2</v>
      </c>
      <c r="F180" s="68">
        <v>13.2</v>
      </c>
      <c r="G180" s="68">
        <v>0.9</v>
      </c>
      <c r="H180" s="68">
        <v>188</v>
      </c>
      <c r="I180" s="68">
        <v>0.1</v>
      </c>
    </row>
    <row r="181" spans="1:9" s="65" customFormat="1" ht="18" customHeight="1">
      <c r="B181" s="69" t="s">
        <v>337</v>
      </c>
      <c r="C181" s="64" t="s">
        <v>271</v>
      </c>
      <c r="D181" s="137">
        <v>110</v>
      </c>
      <c r="E181" s="68">
        <v>2.2400000000000002</v>
      </c>
      <c r="F181" s="68">
        <v>3.52</v>
      </c>
      <c r="G181" s="68">
        <v>15</v>
      </c>
      <c r="H181" s="68">
        <v>100.65</v>
      </c>
      <c r="I181" s="68">
        <v>13.31</v>
      </c>
    </row>
    <row r="182" spans="1:9" ht="18" customHeight="1">
      <c r="B182" s="69" t="s">
        <v>343</v>
      </c>
      <c r="C182" s="64" t="s">
        <v>199</v>
      </c>
      <c r="D182" s="69">
        <v>150</v>
      </c>
      <c r="E182" s="68">
        <v>0</v>
      </c>
      <c r="F182" s="68">
        <v>0</v>
      </c>
      <c r="G182" s="68">
        <v>10.01</v>
      </c>
      <c r="H182" s="68">
        <v>37</v>
      </c>
      <c r="I182" s="68">
        <v>0</v>
      </c>
    </row>
    <row r="183" spans="1:9" ht="18" customHeight="1">
      <c r="B183" s="69"/>
      <c r="C183" s="64" t="s">
        <v>12</v>
      </c>
      <c r="D183" s="67">
        <v>20</v>
      </c>
      <c r="E183" s="68">
        <v>1.3</v>
      </c>
      <c r="F183" s="68">
        <v>0.2</v>
      </c>
      <c r="G183" s="68">
        <v>6.7</v>
      </c>
      <c r="H183" s="68">
        <v>39</v>
      </c>
      <c r="I183" s="68">
        <v>0</v>
      </c>
    </row>
    <row r="184" spans="1:9" ht="18" customHeight="1">
      <c r="B184" s="69"/>
      <c r="C184" s="64" t="s">
        <v>96</v>
      </c>
      <c r="D184" s="67">
        <v>15</v>
      </c>
      <c r="E184" s="68">
        <v>1</v>
      </c>
      <c r="F184" s="68">
        <v>0.1</v>
      </c>
      <c r="G184" s="68">
        <v>7</v>
      </c>
      <c r="H184" s="68">
        <v>34</v>
      </c>
      <c r="I184" s="68">
        <v>0</v>
      </c>
    </row>
    <row r="185" spans="1:9" ht="18" customHeight="1">
      <c r="B185" s="56"/>
      <c r="C185" s="113" t="s">
        <v>10</v>
      </c>
      <c r="D185" s="35">
        <f t="shared" ref="D185:I185" si="21">SUM(D178:D184)</f>
        <v>595</v>
      </c>
      <c r="E185" s="66">
        <f t="shared" si="21"/>
        <v>23.24</v>
      </c>
      <c r="F185" s="111">
        <f t="shared" si="21"/>
        <v>22.71</v>
      </c>
      <c r="G185" s="111">
        <f t="shared" si="21"/>
        <v>53.56</v>
      </c>
      <c r="H185" s="111">
        <f t="shared" si="21"/>
        <v>515.6</v>
      </c>
      <c r="I185" s="111">
        <f t="shared" si="21"/>
        <v>20.72</v>
      </c>
    </row>
    <row r="186" spans="1:9" ht="18" customHeight="1">
      <c r="A186" s="33">
        <v>5</v>
      </c>
      <c r="B186" s="188" t="s">
        <v>275</v>
      </c>
      <c r="C186" s="188"/>
      <c r="D186" s="188"/>
      <c r="E186" s="188"/>
      <c r="F186" s="188"/>
      <c r="G186" s="188"/>
      <c r="H186" s="188"/>
      <c r="I186" s="188"/>
    </row>
    <row r="187" spans="1:9" s="65" customFormat="1" ht="21" customHeight="1">
      <c r="B187" s="176" t="s">
        <v>348</v>
      </c>
      <c r="C187" s="64" t="s">
        <v>129</v>
      </c>
      <c r="D187" s="69">
        <v>50</v>
      </c>
      <c r="E187" s="68">
        <v>6.58</v>
      </c>
      <c r="F187" s="68">
        <v>3.91</v>
      </c>
      <c r="G187" s="68">
        <v>20.84</v>
      </c>
      <c r="H187" s="68">
        <v>144.29</v>
      </c>
      <c r="I187" s="68">
        <v>0.03</v>
      </c>
    </row>
    <row r="188" spans="1:9" s="65" customFormat="1" ht="18" customHeight="1">
      <c r="B188" s="176" t="s">
        <v>346</v>
      </c>
      <c r="C188" s="64" t="s">
        <v>92</v>
      </c>
      <c r="D188" s="69">
        <v>180</v>
      </c>
      <c r="E188" s="68">
        <v>5.48</v>
      </c>
      <c r="F188" s="68">
        <v>4.88</v>
      </c>
      <c r="G188" s="68">
        <v>9.07</v>
      </c>
      <c r="H188" s="68">
        <v>102</v>
      </c>
      <c r="I188" s="68">
        <v>2.46</v>
      </c>
    </row>
    <row r="189" spans="1:9" s="65" customFormat="1" ht="18" customHeight="1">
      <c r="B189" s="83"/>
      <c r="C189" s="113" t="s">
        <v>10</v>
      </c>
      <c r="D189" s="69">
        <f t="shared" ref="D189:I189" si="22">SUM(D187:D188)</f>
        <v>230</v>
      </c>
      <c r="E189" s="83">
        <f t="shared" si="22"/>
        <v>12.06</v>
      </c>
      <c r="F189" s="83">
        <f t="shared" si="22"/>
        <v>8.7899999999999991</v>
      </c>
      <c r="G189" s="83">
        <f t="shared" si="22"/>
        <v>29.91</v>
      </c>
      <c r="H189" s="83">
        <f t="shared" si="22"/>
        <v>246.29</v>
      </c>
      <c r="I189" s="83">
        <f t="shared" si="22"/>
        <v>2.4899999999999998</v>
      </c>
    </row>
    <row r="190" spans="1:9" s="65" customFormat="1" ht="18" customHeight="1">
      <c r="B190" s="182" t="s">
        <v>276</v>
      </c>
      <c r="C190" s="183"/>
      <c r="D190" s="183"/>
      <c r="E190" s="183"/>
      <c r="F190" s="183"/>
      <c r="G190" s="183"/>
      <c r="H190" s="183"/>
      <c r="I190" s="183"/>
    </row>
    <row r="191" spans="1:9" s="65" customFormat="1" ht="18" customHeight="1">
      <c r="B191" s="176" t="s">
        <v>357</v>
      </c>
      <c r="C191" s="64" t="s">
        <v>130</v>
      </c>
      <c r="D191" s="69">
        <v>70</v>
      </c>
      <c r="E191" s="68">
        <v>10.57</v>
      </c>
      <c r="F191" s="68">
        <v>3.43</v>
      </c>
      <c r="G191" s="68">
        <v>7.19</v>
      </c>
      <c r="H191" s="68">
        <v>101.5</v>
      </c>
      <c r="I191" s="68">
        <v>2.29</v>
      </c>
    </row>
    <row r="192" spans="1:9" s="65" customFormat="1" ht="18" customHeight="1">
      <c r="B192" s="111" t="s">
        <v>108</v>
      </c>
      <c r="C192" s="64" t="s">
        <v>107</v>
      </c>
      <c r="D192" s="69">
        <v>150</v>
      </c>
      <c r="E192" s="68">
        <v>3.1</v>
      </c>
      <c r="F192" s="68">
        <v>4.8600000000000003</v>
      </c>
      <c r="G192" s="68">
        <v>13.9</v>
      </c>
      <c r="H192" s="68">
        <v>112.65</v>
      </c>
      <c r="I192" s="68">
        <v>25.7</v>
      </c>
    </row>
    <row r="193" spans="1:9" ht="18" customHeight="1">
      <c r="B193" s="111"/>
      <c r="C193" s="64" t="s">
        <v>12</v>
      </c>
      <c r="D193" s="69">
        <v>20</v>
      </c>
      <c r="E193" s="68">
        <v>1.3</v>
      </c>
      <c r="F193" s="68">
        <v>0.2</v>
      </c>
      <c r="G193" s="68">
        <v>6.7</v>
      </c>
      <c r="H193" s="68">
        <v>39</v>
      </c>
      <c r="I193" s="68">
        <v>0</v>
      </c>
    </row>
    <row r="194" spans="1:9" s="65" customFormat="1" ht="18" customHeight="1">
      <c r="B194" s="111"/>
      <c r="C194" s="64" t="s">
        <v>89</v>
      </c>
      <c r="D194" s="69">
        <v>20</v>
      </c>
      <c r="E194" s="68">
        <v>1.3</v>
      </c>
      <c r="F194" s="68">
        <v>0.1</v>
      </c>
      <c r="G194" s="68">
        <v>9.3000000000000007</v>
      </c>
      <c r="H194" s="68">
        <v>45</v>
      </c>
      <c r="I194" s="68">
        <v>0</v>
      </c>
    </row>
    <row r="195" spans="1:9" s="65" customFormat="1" ht="18" customHeight="1">
      <c r="B195" s="176" t="s">
        <v>341</v>
      </c>
      <c r="C195" s="64" t="s">
        <v>35</v>
      </c>
      <c r="D195" s="69">
        <v>180</v>
      </c>
      <c r="E195" s="68">
        <v>0.18</v>
      </c>
      <c r="F195" s="68">
        <v>0.09</v>
      </c>
      <c r="G195" s="68">
        <v>10.98</v>
      </c>
      <c r="H195" s="68">
        <v>44.1</v>
      </c>
      <c r="I195" s="68">
        <v>1.44</v>
      </c>
    </row>
    <row r="196" spans="1:9" ht="18" customHeight="1">
      <c r="A196" s="33">
        <v>5</v>
      </c>
      <c r="B196" s="111"/>
      <c r="C196" s="111" t="s">
        <v>10</v>
      </c>
      <c r="D196" s="112">
        <f t="shared" ref="D196:I196" si="23">SUM(D191:D195)</f>
        <v>440</v>
      </c>
      <c r="E196" s="111">
        <f t="shared" si="23"/>
        <v>16.45</v>
      </c>
      <c r="F196" s="111">
        <f t="shared" si="23"/>
        <v>8.68</v>
      </c>
      <c r="G196" s="111">
        <f t="shared" si="23"/>
        <v>48.070000000000007</v>
      </c>
      <c r="H196" s="111">
        <f t="shared" si="23"/>
        <v>342.25</v>
      </c>
      <c r="I196" s="111">
        <f t="shared" si="23"/>
        <v>29.43</v>
      </c>
    </row>
    <row r="197" spans="1:9" ht="18" customHeight="1">
      <c r="A197" s="33">
        <v>5</v>
      </c>
      <c r="B197" s="111"/>
      <c r="C197" s="111" t="s">
        <v>17</v>
      </c>
      <c r="D197" s="128">
        <f>D173+D176+D185+D189+D196</f>
        <v>1810</v>
      </c>
      <c r="E197" s="111">
        <f t="shared" ref="E197:I197" si="24">E173+E176+E185+E189+E196</f>
        <v>64.61</v>
      </c>
      <c r="F197" s="111">
        <f t="shared" si="24"/>
        <v>53.16</v>
      </c>
      <c r="G197" s="111">
        <f t="shared" si="24"/>
        <v>191.48000000000002</v>
      </c>
      <c r="H197" s="111">
        <f t="shared" si="24"/>
        <v>1513.6299999999999</v>
      </c>
      <c r="I197" s="111">
        <f t="shared" si="24"/>
        <v>57.319999999999993</v>
      </c>
    </row>
    <row r="198" spans="1:9" s="65" customFormat="1" ht="20.100000000000001" customHeight="1">
      <c r="B198" s="122"/>
      <c r="C198" s="122" t="s">
        <v>141</v>
      </c>
      <c r="D198" s="123"/>
      <c r="E198" s="122">
        <v>42</v>
      </c>
      <c r="F198" s="122">
        <v>47</v>
      </c>
      <c r="G198" s="122">
        <v>203</v>
      </c>
      <c r="H198" s="122">
        <v>1400</v>
      </c>
      <c r="I198" s="122">
        <v>45</v>
      </c>
    </row>
    <row r="199" spans="1:9" s="65" customFormat="1" ht="20.100000000000001" customHeight="1">
      <c r="B199" s="124"/>
      <c r="C199" s="124" t="s">
        <v>142</v>
      </c>
      <c r="D199" s="125"/>
      <c r="E199" s="124">
        <f>ROUND(E197/E198*100-100,2)</f>
        <v>53.83</v>
      </c>
      <c r="F199" s="124">
        <f t="shared" ref="F199:I199" si="25">ROUND(F197/F198*100-100,2)</f>
        <v>13.11</v>
      </c>
      <c r="G199" s="124">
        <f t="shared" si="25"/>
        <v>-5.67</v>
      </c>
      <c r="H199" s="124">
        <f t="shared" si="25"/>
        <v>8.1199999999999992</v>
      </c>
      <c r="I199" s="124">
        <f t="shared" si="25"/>
        <v>27.38</v>
      </c>
    </row>
    <row r="200" spans="1:9" s="28" customFormat="1" ht="20.100000000000001" customHeight="1">
      <c r="B200" s="29" t="s">
        <v>200</v>
      </c>
      <c r="C200" s="30"/>
      <c r="D200" s="39"/>
      <c r="E200" s="40"/>
      <c r="F200" s="40"/>
      <c r="G200" s="40"/>
      <c r="H200" s="40"/>
      <c r="I200" s="40"/>
    </row>
    <row r="201" spans="1:9" s="28" customFormat="1" ht="20.100000000000001" customHeight="1">
      <c r="B201" s="29" t="s">
        <v>71</v>
      </c>
      <c r="C201" s="30"/>
      <c r="D201" s="39"/>
      <c r="E201" s="40"/>
      <c r="F201" s="40"/>
      <c r="G201" s="40"/>
      <c r="H201" s="40"/>
      <c r="I201" s="40"/>
    </row>
    <row r="202" spans="1:9" s="28" customFormat="1" ht="20.100000000000001" customHeight="1">
      <c r="B202" s="29" t="s">
        <v>201</v>
      </c>
      <c r="C202" s="30"/>
      <c r="D202" s="39"/>
      <c r="E202" s="40"/>
      <c r="F202" s="40"/>
      <c r="G202" s="40"/>
      <c r="H202" s="40"/>
      <c r="I202" s="40"/>
    </row>
    <row r="203" spans="1:9" s="28" customFormat="1" ht="20.100000000000001" customHeight="1">
      <c r="B203" s="29" t="s">
        <v>145</v>
      </c>
      <c r="C203" s="30"/>
      <c r="D203" s="39"/>
      <c r="E203" s="40"/>
      <c r="F203" s="40"/>
      <c r="G203" s="40"/>
      <c r="H203" s="40"/>
      <c r="I203" s="40"/>
    </row>
    <row r="204" spans="1:9" s="28" customFormat="1" ht="20.100000000000001" hidden="1" customHeight="1">
      <c r="B204" s="38"/>
      <c r="C204" s="38"/>
      <c r="D204" s="39"/>
      <c r="E204" s="40"/>
      <c r="F204" s="40"/>
      <c r="G204" s="40"/>
      <c r="H204" s="40"/>
      <c r="I204" s="40"/>
    </row>
    <row r="205" spans="1:9" s="28" customFormat="1" ht="35.25" customHeight="1">
      <c r="B205" s="184" t="s">
        <v>0</v>
      </c>
      <c r="C205" s="184" t="s">
        <v>1</v>
      </c>
      <c r="D205" s="191" t="s">
        <v>2</v>
      </c>
      <c r="E205" s="182" t="s">
        <v>3</v>
      </c>
      <c r="F205" s="183"/>
      <c r="G205" s="193"/>
      <c r="H205" s="186" t="s">
        <v>4</v>
      </c>
      <c r="I205" s="111"/>
    </row>
    <row r="206" spans="1:9" s="28" customFormat="1" ht="31.5" customHeight="1">
      <c r="B206" s="185"/>
      <c r="C206" s="185"/>
      <c r="D206" s="192"/>
      <c r="E206" s="111" t="s">
        <v>5</v>
      </c>
      <c r="F206" s="111" t="s">
        <v>6</v>
      </c>
      <c r="G206" s="111" t="s">
        <v>7</v>
      </c>
      <c r="H206" s="187"/>
      <c r="I206" s="111" t="s">
        <v>8</v>
      </c>
    </row>
    <row r="207" spans="1:9" ht="20.100000000000001" customHeight="1">
      <c r="A207" s="33">
        <v>6</v>
      </c>
      <c r="B207" s="188" t="s">
        <v>243</v>
      </c>
      <c r="C207" s="188"/>
      <c r="D207" s="188"/>
      <c r="E207" s="188"/>
      <c r="F207" s="188"/>
      <c r="G207" s="188"/>
      <c r="H207" s="188"/>
      <c r="I207" s="188"/>
    </row>
    <row r="208" spans="1:9" ht="30" customHeight="1">
      <c r="A208" s="33">
        <v>6</v>
      </c>
      <c r="B208" s="69" t="s">
        <v>300</v>
      </c>
      <c r="C208" s="20" t="s">
        <v>153</v>
      </c>
      <c r="D208" s="35">
        <v>150</v>
      </c>
      <c r="E208" s="36">
        <v>3.3</v>
      </c>
      <c r="F208" s="36">
        <v>6.24</v>
      </c>
      <c r="G208" s="36">
        <v>11.9</v>
      </c>
      <c r="H208" s="36">
        <v>117.42</v>
      </c>
      <c r="I208" s="36">
        <v>0.39</v>
      </c>
    </row>
    <row r="209" spans="1:9" ht="18" customHeight="1">
      <c r="A209" s="33">
        <v>6</v>
      </c>
      <c r="B209" s="167" t="s">
        <v>305</v>
      </c>
      <c r="C209" s="64" t="s">
        <v>136</v>
      </c>
      <c r="D209" s="35">
        <v>80</v>
      </c>
      <c r="E209" s="36">
        <v>9.2100000000000009</v>
      </c>
      <c r="F209" s="36">
        <v>12.32</v>
      </c>
      <c r="G209" s="36">
        <v>1.33</v>
      </c>
      <c r="H209" s="36">
        <v>153.33000000000001</v>
      </c>
      <c r="I209" s="36">
        <v>1.04</v>
      </c>
    </row>
    <row r="210" spans="1:9" ht="18" customHeight="1">
      <c r="A210" s="33">
        <v>6</v>
      </c>
      <c r="B210" s="167" t="s">
        <v>308</v>
      </c>
      <c r="C210" s="64" t="s">
        <v>117</v>
      </c>
      <c r="D210" s="35">
        <v>150</v>
      </c>
      <c r="E210" s="36">
        <v>2.65</v>
      </c>
      <c r="F210" s="36">
        <v>2.33</v>
      </c>
      <c r="G210" s="36">
        <v>9.31</v>
      </c>
      <c r="H210" s="36">
        <v>69</v>
      </c>
      <c r="I210" s="36">
        <v>1.19</v>
      </c>
    </row>
    <row r="211" spans="1:9" s="65" customFormat="1" ht="18" customHeight="1">
      <c r="B211" s="132"/>
      <c r="C211" s="64" t="s">
        <v>96</v>
      </c>
      <c r="D211" s="133">
        <v>25</v>
      </c>
      <c r="E211" s="36">
        <v>1.7</v>
      </c>
      <c r="F211" s="36">
        <v>0.2</v>
      </c>
      <c r="G211" s="36">
        <v>11.7</v>
      </c>
      <c r="H211" s="36">
        <v>56</v>
      </c>
      <c r="I211" s="36">
        <v>0</v>
      </c>
    </row>
    <row r="212" spans="1:9" s="65" customFormat="1" ht="18" customHeight="1">
      <c r="A212" s="65">
        <v>6</v>
      </c>
      <c r="B212" s="70"/>
      <c r="C212" s="70" t="s">
        <v>10</v>
      </c>
      <c r="D212" s="75">
        <f t="shared" ref="D212:I212" si="26">SUM(D208:D211)</f>
        <v>405</v>
      </c>
      <c r="E212" s="70">
        <f t="shared" si="26"/>
        <v>16.860000000000003</v>
      </c>
      <c r="F212" s="85">
        <f t="shared" si="26"/>
        <v>21.09</v>
      </c>
      <c r="G212" s="85">
        <f t="shared" si="26"/>
        <v>34.239999999999995</v>
      </c>
      <c r="H212" s="85">
        <f t="shared" si="26"/>
        <v>395.75</v>
      </c>
      <c r="I212" s="85">
        <f t="shared" si="26"/>
        <v>2.62</v>
      </c>
    </row>
    <row r="213" spans="1:9" s="65" customFormat="1" ht="18" customHeight="1">
      <c r="B213" s="182" t="s">
        <v>206</v>
      </c>
      <c r="C213" s="183"/>
      <c r="D213" s="183"/>
      <c r="E213" s="183"/>
      <c r="F213" s="183"/>
      <c r="G213" s="183"/>
      <c r="H213" s="183"/>
      <c r="I213" s="183"/>
    </row>
    <row r="214" spans="1:9" s="65" customFormat="1" ht="18" customHeight="1">
      <c r="B214" s="171" t="s">
        <v>311</v>
      </c>
      <c r="C214" s="64" t="s">
        <v>85</v>
      </c>
      <c r="D214" s="71">
        <v>100</v>
      </c>
      <c r="E214" s="36">
        <v>0.4</v>
      </c>
      <c r="F214" s="36">
        <v>0.4</v>
      </c>
      <c r="G214" s="36">
        <v>9.8000000000000007</v>
      </c>
      <c r="H214" s="36">
        <v>44</v>
      </c>
      <c r="I214" s="36">
        <v>10</v>
      </c>
    </row>
    <row r="215" spans="1:9" s="65" customFormat="1" ht="18" customHeight="1">
      <c r="B215" s="70"/>
      <c r="C215" s="113" t="s">
        <v>10</v>
      </c>
      <c r="D215" s="71">
        <f>D214</f>
        <v>100</v>
      </c>
      <c r="E215" s="50">
        <f>E214</f>
        <v>0.4</v>
      </c>
      <c r="F215" s="50">
        <f t="shared" ref="F215:I215" si="27">F214</f>
        <v>0.4</v>
      </c>
      <c r="G215" s="50">
        <f t="shared" si="27"/>
        <v>9.8000000000000007</v>
      </c>
      <c r="H215" s="50">
        <f t="shared" si="27"/>
        <v>44</v>
      </c>
      <c r="I215" s="50">
        <f t="shared" si="27"/>
        <v>10</v>
      </c>
    </row>
    <row r="216" spans="1:9" ht="18" customHeight="1">
      <c r="A216" s="33">
        <v>6</v>
      </c>
      <c r="B216" s="194" t="s">
        <v>244</v>
      </c>
      <c r="C216" s="188"/>
      <c r="D216" s="188"/>
      <c r="E216" s="188"/>
      <c r="F216" s="188"/>
      <c r="G216" s="188"/>
      <c r="H216" s="188"/>
      <c r="I216" s="188"/>
    </row>
    <row r="217" spans="1:9" ht="18" customHeight="1">
      <c r="A217" s="33">
        <v>6</v>
      </c>
      <c r="B217" s="46" t="s">
        <v>314</v>
      </c>
      <c r="C217" s="47" t="s">
        <v>86</v>
      </c>
      <c r="D217" s="48">
        <v>40</v>
      </c>
      <c r="E217" s="37">
        <v>0.56000000000000005</v>
      </c>
      <c r="F217" s="68">
        <v>2.0299999999999998</v>
      </c>
      <c r="G217" s="68">
        <v>3.6</v>
      </c>
      <c r="H217" s="68">
        <v>34.96</v>
      </c>
      <c r="I217" s="68">
        <v>12.98</v>
      </c>
    </row>
    <row r="218" spans="1:9" ht="18" customHeight="1">
      <c r="B218" s="46" t="s">
        <v>322</v>
      </c>
      <c r="C218" s="47" t="s">
        <v>87</v>
      </c>
      <c r="D218" s="48">
        <v>200</v>
      </c>
      <c r="E218" s="68">
        <v>1.18</v>
      </c>
      <c r="F218" s="68">
        <v>3.93</v>
      </c>
      <c r="G218" s="68">
        <v>4.87</v>
      </c>
      <c r="H218" s="68">
        <v>61</v>
      </c>
      <c r="I218" s="68">
        <v>7.9</v>
      </c>
    </row>
    <row r="219" spans="1:9" s="65" customFormat="1" ht="18" customHeight="1">
      <c r="B219" s="46" t="s">
        <v>203</v>
      </c>
      <c r="C219" s="47" t="s">
        <v>204</v>
      </c>
      <c r="D219" s="48">
        <v>60</v>
      </c>
      <c r="E219" s="68">
        <v>6.96</v>
      </c>
      <c r="F219" s="68">
        <v>16.11</v>
      </c>
      <c r="G219" s="68">
        <v>2.86</v>
      </c>
      <c r="H219" s="68">
        <v>223</v>
      </c>
      <c r="I219" s="68">
        <v>0.92</v>
      </c>
    </row>
    <row r="220" spans="1:9" s="65" customFormat="1" ht="18" customHeight="1">
      <c r="B220" s="46" t="s">
        <v>331</v>
      </c>
      <c r="C220" s="47" t="s">
        <v>205</v>
      </c>
      <c r="D220" s="48">
        <v>30</v>
      </c>
      <c r="E220" s="68">
        <v>0.4</v>
      </c>
      <c r="F220" s="68">
        <v>1.5</v>
      </c>
      <c r="G220" s="68">
        <v>1.8</v>
      </c>
      <c r="H220" s="68">
        <v>22.3</v>
      </c>
      <c r="I220" s="68">
        <v>0.01</v>
      </c>
    </row>
    <row r="221" spans="1:9" s="65" customFormat="1" ht="18" customHeight="1">
      <c r="B221" s="46" t="s">
        <v>339</v>
      </c>
      <c r="C221" s="47" t="s">
        <v>226</v>
      </c>
      <c r="D221" s="48">
        <v>110</v>
      </c>
      <c r="E221" s="68">
        <v>3.02</v>
      </c>
      <c r="F221" s="68">
        <v>2.96</v>
      </c>
      <c r="G221" s="68">
        <v>18.559999999999999</v>
      </c>
      <c r="H221" s="68">
        <v>112.93</v>
      </c>
      <c r="I221" s="68">
        <v>0</v>
      </c>
    </row>
    <row r="222" spans="1:9" ht="18" customHeight="1">
      <c r="B222" s="46" t="s">
        <v>109</v>
      </c>
      <c r="C222" s="47" t="s">
        <v>35</v>
      </c>
      <c r="D222" s="48">
        <v>180</v>
      </c>
      <c r="E222" s="68">
        <v>0.18</v>
      </c>
      <c r="F222" s="68">
        <v>0.09</v>
      </c>
      <c r="G222" s="68">
        <v>10.98</v>
      </c>
      <c r="H222" s="68">
        <v>44.1</v>
      </c>
      <c r="I222" s="68">
        <v>1.44</v>
      </c>
    </row>
    <row r="223" spans="1:9" ht="18" customHeight="1">
      <c r="B223" s="46"/>
      <c r="C223" s="47" t="s">
        <v>12</v>
      </c>
      <c r="D223" s="48">
        <v>20</v>
      </c>
      <c r="E223" s="68">
        <v>1.3</v>
      </c>
      <c r="F223" s="68">
        <v>0.2</v>
      </c>
      <c r="G223" s="68">
        <v>6.7</v>
      </c>
      <c r="H223" s="68">
        <v>39</v>
      </c>
      <c r="I223" s="68">
        <v>0</v>
      </c>
    </row>
    <row r="224" spans="1:9" ht="18" customHeight="1">
      <c r="B224" s="46"/>
      <c r="C224" s="47" t="s">
        <v>89</v>
      </c>
      <c r="D224" s="48">
        <v>10</v>
      </c>
      <c r="E224" s="68">
        <v>0.7</v>
      </c>
      <c r="F224" s="68">
        <v>7.0000000000000007E-2</v>
      </c>
      <c r="G224" s="68">
        <v>4.7</v>
      </c>
      <c r="H224" s="68">
        <v>22.7</v>
      </c>
      <c r="I224" s="68">
        <v>0</v>
      </c>
    </row>
    <row r="225" spans="1:9" ht="18" customHeight="1">
      <c r="A225" s="33">
        <v>6</v>
      </c>
      <c r="B225" s="46"/>
      <c r="C225" s="113" t="s">
        <v>10</v>
      </c>
      <c r="D225" s="48">
        <f t="shared" ref="D225:I225" si="28">SUM(D217:D224)</f>
        <v>650</v>
      </c>
      <c r="E225" s="85">
        <f t="shared" si="28"/>
        <v>14.299999999999999</v>
      </c>
      <c r="F225" s="103">
        <f t="shared" si="28"/>
        <v>26.89</v>
      </c>
      <c r="G225" s="103">
        <f t="shared" si="28"/>
        <v>54.070000000000007</v>
      </c>
      <c r="H225" s="103">
        <f t="shared" si="28"/>
        <v>559.99000000000012</v>
      </c>
      <c r="I225" s="103">
        <f t="shared" si="28"/>
        <v>23.250000000000007</v>
      </c>
    </row>
    <row r="226" spans="1:9" ht="18" customHeight="1">
      <c r="A226" s="33">
        <v>6</v>
      </c>
      <c r="B226" s="188" t="s">
        <v>245</v>
      </c>
      <c r="C226" s="188"/>
      <c r="D226" s="188"/>
      <c r="E226" s="188"/>
      <c r="F226" s="188"/>
      <c r="G226" s="188"/>
      <c r="H226" s="188"/>
      <c r="I226" s="188"/>
    </row>
    <row r="227" spans="1:9" s="65" customFormat="1" ht="18" customHeight="1">
      <c r="B227" s="176" t="s">
        <v>349</v>
      </c>
      <c r="C227" s="64" t="s">
        <v>90</v>
      </c>
      <c r="D227" s="69">
        <v>50</v>
      </c>
      <c r="E227" s="68">
        <v>3.78</v>
      </c>
      <c r="F227" s="68">
        <v>3.1</v>
      </c>
      <c r="G227" s="68">
        <v>20.57</v>
      </c>
      <c r="H227" s="68">
        <v>125</v>
      </c>
      <c r="I227" s="68">
        <v>0.18</v>
      </c>
    </row>
    <row r="228" spans="1:9" s="65" customFormat="1" ht="18" customHeight="1">
      <c r="B228" s="176" t="s">
        <v>350</v>
      </c>
      <c r="C228" s="64" t="s">
        <v>91</v>
      </c>
      <c r="D228" s="69">
        <v>30</v>
      </c>
      <c r="E228" s="68">
        <v>0.61</v>
      </c>
      <c r="F228" s="68">
        <v>1.32</v>
      </c>
      <c r="G228" s="68">
        <v>2.13</v>
      </c>
      <c r="H228" s="68">
        <v>25.14</v>
      </c>
      <c r="I228" s="68">
        <v>0.1</v>
      </c>
    </row>
    <row r="229" spans="1:9" s="65" customFormat="1" ht="18" customHeight="1">
      <c r="B229" s="176" t="s">
        <v>346</v>
      </c>
      <c r="C229" s="64" t="s">
        <v>92</v>
      </c>
      <c r="D229" s="69">
        <v>180</v>
      </c>
      <c r="E229" s="68">
        <v>5.48</v>
      </c>
      <c r="F229" s="68">
        <v>4.88</v>
      </c>
      <c r="G229" s="68">
        <v>9.07</v>
      </c>
      <c r="H229" s="68">
        <v>102</v>
      </c>
      <c r="I229" s="68">
        <v>2.46</v>
      </c>
    </row>
    <row r="230" spans="1:9" s="65" customFormat="1" ht="18" customHeight="1">
      <c r="B230" s="85"/>
      <c r="C230" s="113" t="s">
        <v>10</v>
      </c>
      <c r="D230" s="69">
        <f t="shared" ref="D230:I230" si="29">SUM(D227:D229)</f>
        <v>260</v>
      </c>
      <c r="E230" s="85">
        <f t="shared" si="29"/>
        <v>9.870000000000001</v>
      </c>
      <c r="F230" s="126">
        <f t="shared" si="29"/>
        <v>9.3000000000000007</v>
      </c>
      <c r="G230" s="126">
        <f t="shared" si="29"/>
        <v>31.77</v>
      </c>
      <c r="H230" s="126">
        <f t="shared" si="29"/>
        <v>252.14</v>
      </c>
      <c r="I230" s="126">
        <f t="shared" si="29"/>
        <v>2.74</v>
      </c>
    </row>
    <row r="231" spans="1:9" s="65" customFormat="1" ht="18" customHeight="1">
      <c r="B231" s="182" t="s">
        <v>207</v>
      </c>
      <c r="C231" s="183"/>
      <c r="D231" s="183"/>
      <c r="E231" s="183"/>
      <c r="F231" s="183"/>
      <c r="G231" s="183"/>
      <c r="H231" s="183"/>
      <c r="I231" s="183"/>
    </row>
    <row r="232" spans="1:9" ht="18" customHeight="1">
      <c r="A232" s="33">
        <v>6</v>
      </c>
      <c r="B232" s="176" t="s">
        <v>358</v>
      </c>
      <c r="C232" s="20" t="s">
        <v>93</v>
      </c>
      <c r="D232" s="69">
        <v>60</v>
      </c>
      <c r="E232" s="68">
        <v>8.1</v>
      </c>
      <c r="F232" s="68">
        <v>4</v>
      </c>
      <c r="G232" s="68">
        <v>9.1</v>
      </c>
      <c r="H232" s="68">
        <v>104.3</v>
      </c>
      <c r="I232" s="68">
        <v>1.38</v>
      </c>
    </row>
    <row r="233" spans="1:9" ht="18" customHeight="1">
      <c r="B233" s="174" t="s">
        <v>338</v>
      </c>
      <c r="C233" s="64" t="s">
        <v>94</v>
      </c>
      <c r="D233" s="35">
        <v>110</v>
      </c>
      <c r="E233" s="68">
        <v>2.83</v>
      </c>
      <c r="F233" s="68">
        <v>9.1999999999999993</v>
      </c>
      <c r="G233" s="68">
        <v>20.11</v>
      </c>
      <c r="H233" s="68">
        <v>178</v>
      </c>
      <c r="I233" s="68">
        <v>11.63</v>
      </c>
    </row>
    <row r="234" spans="1:9" ht="18" customHeight="1">
      <c r="B234" s="70"/>
      <c r="C234" s="64" t="s">
        <v>12</v>
      </c>
      <c r="D234" s="55">
        <v>20</v>
      </c>
      <c r="E234" s="68">
        <v>1.3</v>
      </c>
      <c r="F234" s="68">
        <v>0.2</v>
      </c>
      <c r="G234" s="68">
        <v>6.7</v>
      </c>
      <c r="H234" s="68">
        <v>39</v>
      </c>
      <c r="I234" s="68">
        <v>0</v>
      </c>
    </row>
    <row r="235" spans="1:9" s="65" customFormat="1" ht="18" customHeight="1">
      <c r="B235" s="103"/>
      <c r="C235" s="64" t="s">
        <v>89</v>
      </c>
      <c r="D235" s="104">
        <v>10</v>
      </c>
      <c r="E235" s="68">
        <v>0.7</v>
      </c>
      <c r="F235" s="68">
        <v>7.0000000000000007E-2</v>
      </c>
      <c r="G235" s="68">
        <v>4.7</v>
      </c>
      <c r="H235" s="68">
        <v>22.7</v>
      </c>
      <c r="I235" s="68">
        <v>0</v>
      </c>
    </row>
    <row r="236" spans="1:9" s="65" customFormat="1" ht="18" customHeight="1">
      <c r="B236" s="171" t="s">
        <v>312</v>
      </c>
      <c r="C236" s="64" t="s">
        <v>98</v>
      </c>
      <c r="D236" s="104">
        <v>200</v>
      </c>
      <c r="E236" s="68">
        <v>1</v>
      </c>
      <c r="F236" s="68">
        <v>0</v>
      </c>
      <c r="G236" s="68">
        <v>20.2</v>
      </c>
      <c r="H236" s="68">
        <v>85.3</v>
      </c>
      <c r="I236" s="68">
        <v>4</v>
      </c>
    </row>
    <row r="237" spans="1:9" ht="18" customHeight="1">
      <c r="B237" s="54"/>
      <c r="C237" s="113" t="s">
        <v>10</v>
      </c>
      <c r="D237" s="55">
        <f t="shared" ref="D237:I237" si="30">SUM(D232:D236)</f>
        <v>400</v>
      </c>
      <c r="E237" s="50">
        <f t="shared" si="30"/>
        <v>13.93</v>
      </c>
      <c r="F237" s="50">
        <f t="shared" si="30"/>
        <v>13.469999999999999</v>
      </c>
      <c r="G237" s="50">
        <f t="shared" si="30"/>
        <v>60.81</v>
      </c>
      <c r="H237" s="50">
        <f t="shared" si="30"/>
        <v>429.3</v>
      </c>
      <c r="I237" s="50">
        <f t="shared" si="30"/>
        <v>17.010000000000002</v>
      </c>
    </row>
    <row r="238" spans="1:9" ht="18" customHeight="1">
      <c r="B238" s="57"/>
      <c r="C238" s="85" t="s">
        <v>18</v>
      </c>
      <c r="D238" s="58">
        <f>D212+D215+D225+D230+D237</f>
        <v>1815</v>
      </c>
      <c r="E238" s="50">
        <f>E212+E215+E225+E237+E230</f>
        <v>55.36</v>
      </c>
      <c r="F238" s="50">
        <f>F212+F215+F225+F237+F230</f>
        <v>71.149999999999991</v>
      </c>
      <c r="G238" s="50">
        <f>G212+G215+G225+G237+G230</f>
        <v>190.69000000000003</v>
      </c>
      <c r="H238" s="50">
        <f>H212+H215+H225+H237+H230</f>
        <v>1681.1800000000003</v>
      </c>
      <c r="I238" s="50">
        <f>I212+I215+I225+I237+I230</f>
        <v>55.620000000000012</v>
      </c>
    </row>
    <row r="239" spans="1:9" s="65" customFormat="1" ht="20.100000000000001" customHeight="1">
      <c r="B239" s="122"/>
      <c r="C239" s="122" t="s">
        <v>141</v>
      </c>
      <c r="D239" s="123"/>
      <c r="E239" s="122">
        <v>42</v>
      </c>
      <c r="F239" s="122">
        <v>47</v>
      </c>
      <c r="G239" s="122">
        <v>203</v>
      </c>
      <c r="H239" s="122">
        <v>1400</v>
      </c>
      <c r="I239" s="122">
        <v>45</v>
      </c>
    </row>
    <row r="240" spans="1:9" s="65" customFormat="1" ht="20.100000000000001" customHeight="1">
      <c r="B240" s="124"/>
      <c r="C240" s="124" t="s">
        <v>142</v>
      </c>
      <c r="D240" s="125"/>
      <c r="E240" s="124">
        <f>ROUND(E238/E239*100-100,2)</f>
        <v>31.81</v>
      </c>
      <c r="F240" s="124">
        <f t="shared" ref="F240:I240" si="31">ROUND(F238/F239*100-100,2)</f>
        <v>51.38</v>
      </c>
      <c r="G240" s="124">
        <f t="shared" si="31"/>
        <v>-6.06</v>
      </c>
      <c r="H240" s="124">
        <f t="shared" si="31"/>
        <v>20.079999999999998</v>
      </c>
      <c r="I240" s="124">
        <f t="shared" si="31"/>
        <v>23.6</v>
      </c>
    </row>
    <row r="241" spans="1:9" s="28" customFormat="1" ht="20.100000000000001" customHeight="1">
      <c r="B241" s="29" t="s">
        <v>208</v>
      </c>
      <c r="C241" s="30"/>
      <c r="D241" s="39"/>
      <c r="E241" s="40"/>
      <c r="F241" s="40"/>
      <c r="G241" s="40"/>
      <c r="H241" s="40"/>
      <c r="I241" s="40"/>
    </row>
    <row r="242" spans="1:9" s="28" customFormat="1" ht="20.100000000000001" customHeight="1">
      <c r="B242" s="29" t="s">
        <v>71</v>
      </c>
      <c r="C242" s="30"/>
      <c r="D242" s="39"/>
      <c r="E242" s="40"/>
      <c r="F242" s="40"/>
      <c r="G242" s="40"/>
      <c r="H242" s="40"/>
      <c r="I242" s="40"/>
    </row>
    <row r="243" spans="1:9" s="28" customFormat="1" ht="20.100000000000001" customHeight="1">
      <c r="B243" s="29" t="s">
        <v>185</v>
      </c>
      <c r="C243" s="30"/>
      <c r="D243" s="39"/>
      <c r="E243" s="40"/>
      <c r="F243" s="40"/>
      <c r="G243" s="40"/>
      <c r="H243" s="40"/>
      <c r="I243" s="40"/>
    </row>
    <row r="244" spans="1:9" s="28" customFormat="1">
      <c r="B244" s="29" t="s">
        <v>145</v>
      </c>
      <c r="C244" s="30"/>
      <c r="D244" s="31"/>
      <c r="E244" s="32"/>
      <c r="F244" s="32"/>
      <c r="G244" s="32"/>
      <c r="H244" s="32"/>
      <c r="I244" s="32"/>
    </row>
    <row r="245" spans="1:9" s="28" customFormat="1" ht="36.75" customHeight="1">
      <c r="B245" s="189" t="s">
        <v>0</v>
      </c>
      <c r="C245" s="189" t="s">
        <v>1</v>
      </c>
      <c r="D245" s="190" t="s">
        <v>2</v>
      </c>
      <c r="E245" s="188" t="s">
        <v>3</v>
      </c>
      <c r="F245" s="188"/>
      <c r="G245" s="188"/>
      <c r="H245" s="188" t="s">
        <v>4</v>
      </c>
      <c r="I245" s="101"/>
    </row>
    <row r="246" spans="1:9" s="28" customFormat="1" ht="27" customHeight="1">
      <c r="B246" s="189"/>
      <c r="C246" s="189"/>
      <c r="D246" s="190"/>
      <c r="E246" s="34" t="s">
        <v>5</v>
      </c>
      <c r="F246" s="34" t="s">
        <v>6</v>
      </c>
      <c r="G246" s="34" t="s">
        <v>7</v>
      </c>
      <c r="H246" s="188"/>
      <c r="I246" s="34" t="s">
        <v>8</v>
      </c>
    </row>
    <row r="247" spans="1:9" ht="18" customHeight="1">
      <c r="A247" s="33">
        <v>7</v>
      </c>
      <c r="B247" s="188" t="s">
        <v>293</v>
      </c>
      <c r="C247" s="188"/>
      <c r="D247" s="188"/>
      <c r="E247" s="188"/>
      <c r="F247" s="188"/>
      <c r="G247" s="188"/>
      <c r="H247" s="188"/>
      <c r="I247" s="188"/>
    </row>
    <row r="248" spans="1:9" ht="33" customHeight="1">
      <c r="A248" s="33">
        <v>7</v>
      </c>
      <c r="B248" s="34" t="s">
        <v>111</v>
      </c>
      <c r="C248" s="20" t="s">
        <v>110</v>
      </c>
      <c r="D248" s="69" t="s">
        <v>148</v>
      </c>
      <c r="E248" s="45">
        <v>5.65</v>
      </c>
      <c r="F248" s="37">
        <v>6.1</v>
      </c>
      <c r="G248" s="37">
        <v>27.28</v>
      </c>
      <c r="H248" s="37">
        <v>190.54</v>
      </c>
      <c r="I248" s="37">
        <v>0.88</v>
      </c>
    </row>
    <row r="249" spans="1:9" ht="18" customHeight="1">
      <c r="A249" s="33">
        <v>7</v>
      </c>
      <c r="B249" s="145" t="s">
        <v>269</v>
      </c>
      <c r="C249" s="20" t="s">
        <v>131</v>
      </c>
      <c r="D249" s="35">
        <v>5</v>
      </c>
      <c r="E249" s="37">
        <v>0.04</v>
      </c>
      <c r="F249" s="37">
        <v>3.63</v>
      </c>
      <c r="G249" s="37">
        <v>7.0000000000000007E-2</v>
      </c>
      <c r="H249" s="37">
        <v>33</v>
      </c>
      <c r="I249" s="37">
        <v>0</v>
      </c>
    </row>
    <row r="250" spans="1:9" ht="19.899999999999999" customHeight="1">
      <c r="B250" s="34"/>
      <c r="C250" s="20" t="s">
        <v>89</v>
      </c>
      <c r="D250" s="35">
        <v>25</v>
      </c>
      <c r="E250" s="37">
        <v>1.7</v>
      </c>
      <c r="F250" s="37">
        <v>0.2</v>
      </c>
      <c r="G250" s="37">
        <v>11.7</v>
      </c>
      <c r="H250" s="37">
        <v>56</v>
      </c>
      <c r="I250" s="37">
        <v>0</v>
      </c>
    </row>
    <row r="251" spans="1:9" ht="18" customHeight="1">
      <c r="A251" s="33">
        <v>7</v>
      </c>
      <c r="B251" s="167" t="s">
        <v>309</v>
      </c>
      <c r="C251" s="64" t="s">
        <v>36</v>
      </c>
      <c r="D251" s="35">
        <v>150</v>
      </c>
      <c r="E251" s="37">
        <v>3.15</v>
      </c>
      <c r="F251" s="37">
        <v>2.72</v>
      </c>
      <c r="G251" s="37">
        <v>8.9600000000000009</v>
      </c>
      <c r="H251" s="37">
        <v>77</v>
      </c>
      <c r="I251" s="37">
        <v>1.2</v>
      </c>
    </row>
    <row r="252" spans="1:9" s="65" customFormat="1" ht="18" customHeight="1">
      <c r="A252" s="65">
        <v>7</v>
      </c>
      <c r="B252" s="70"/>
      <c r="C252" s="70" t="s">
        <v>10</v>
      </c>
      <c r="D252" s="71">
        <v>335</v>
      </c>
      <c r="E252" s="70">
        <f>E248+E249+E250+E251</f>
        <v>10.540000000000001</v>
      </c>
      <c r="F252" s="70">
        <f t="shared" ref="F252:I252" si="32">F248+F249+F250+F251</f>
        <v>12.65</v>
      </c>
      <c r="G252" s="70">
        <f t="shared" si="32"/>
        <v>48.01</v>
      </c>
      <c r="H252" s="70">
        <f t="shared" si="32"/>
        <v>356.53999999999996</v>
      </c>
      <c r="I252" s="70">
        <f t="shared" si="32"/>
        <v>2.08</v>
      </c>
    </row>
    <row r="253" spans="1:9" s="65" customFormat="1" ht="18" customHeight="1">
      <c r="B253" s="182" t="s">
        <v>213</v>
      </c>
      <c r="C253" s="183"/>
      <c r="D253" s="183"/>
      <c r="E253" s="183"/>
      <c r="F253" s="183"/>
      <c r="G253" s="183"/>
      <c r="H253" s="183"/>
      <c r="I253" s="183"/>
    </row>
    <row r="254" spans="1:9" s="65" customFormat="1" ht="18" customHeight="1">
      <c r="B254" s="171" t="s">
        <v>311</v>
      </c>
      <c r="C254" s="64" t="s">
        <v>85</v>
      </c>
      <c r="D254" s="71">
        <v>100</v>
      </c>
      <c r="E254" s="68">
        <v>0.4</v>
      </c>
      <c r="F254" s="68">
        <v>0.4</v>
      </c>
      <c r="G254" s="68">
        <v>9.8000000000000007</v>
      </c>
      <c r="H254" s="68">
        <v>44</v>
      </c>
      <c r="I254" s="68">
        <v>10</v>
      </c>
    </row>
    <row r="255" spans="1:9" ht="18" customHeight="1">
      <c r="B255" s="34"/>
      <c r="C255" s="113" t="s">
        <v>10</v>
      </c>
      <c r="D255" s="73">
        <f>D254</f>
        <v>100</v>
      </c>
      <c r="E255" s="92">
        <f>E254</f>
        <v>0.4</v>
      </c>
      <c r="F255" s="111">
        <f t="shared" ref="F255:I255" si="33">F254</f>
        <v>0.4</v>
      </c>
      <c r="G255" s="111">
        <f t="shared" si="33"/>
        <v>9.8000000000000007</v>
      </c>
      <c r="H255" s="111">
        <f t="shared" si="33"/>
        <v>44</v>
      </c>
      <c r="I255" s="111">
        <f t="shared" si="33"/>
        <v>10</v>
      </c>
    </row>
    <row r="256" spans="1:9" ht="18" customHeight="1">
      <c r="A256" s="33">
        <v>7</v>
      </c>
      <c r="B256" s="188" t="s">
        <v>214</v>
      </c>
      <c r="C256" s="188"/>
      <c r="D256" s="188"/>
      <c r="E256" s="188"/>
      <c r="F256" s="188"/>
      <c r="G256" s="188"/>
      <c r="H256" s="188"/>
      <c r="I256" s="188"/>
    </row>
    <row r="257" spans="1:9" ht="18" customHeight="1">
      <c r="A257" s="33">
        <v>7</v>
      </c>
      <c r="B257" s="172" t="s">
        <v>317</v>
      </c>
      <c r="C257" s="64" t="s">
        <v>371</v>
      </c>
      <c r="D257" s="35">
        <v>40</v>
      </c>
      <c r="E257" s="37">
        <v>0.56999999999999995</v>
      </c>
      <c r="F257" s="37">
        <v>2.4</v>
      </c>
      <c r="G257" s="37">
        <v>3.34</v>
      </c>
      <c r="H257" s="37">
        <v>37.56</v>
      </c>
      <c r="I257" s="37">
        <v>3.8</v>
      </c>
    </row>
    <row r="258" spans="1:9" ht="18" customHeight="1">
      <c r="B258" s="172" t="s">
        <v>323</v>
      </c>
      <c r="C258" s="20" t="s">
        <v>155</v>
      </c>
      <c r="D258" s="136" t="s">
        <v>234</v>
      </c>
      <c r="E258" s="37">
        <v>1.51</v>
      </c>
      <c r="F258" s="37">
        <v>2.42</v>
      </c>
      <c r="G258" s="37">
        <v>8.74</v>
      </c>
      <c r="H258" s="37">
        <v>62.82</v>
      </c>
      <c r="I258" s="37">
        <v>4.1399999999999997</v>
      </c>
    </row>
    <row r="259" spans="1:9" ht="18" customHeight="1">
      <c r="B259" s="174" t="s">
        <v>332</v>
      </c>
      <c r="C259" s="20" t="s">
        <v>132</v>
      </c>
      <c r="D259" s="55">
        <v>50</v>
      </c>
      <c r="E259" s="37">
        <v>10.1</v>
      </c>
      <c r="F259" s="37">
        <v>7</v>
      </c>
      <c r="G259" s="37">
        <v>6.8</v>
      </c>
      <c r="H259" s="37">
        <v>131</v>
      </c>
      <c r="I259" s="37">
        <v>6.19</v>
      </c>
    </row>
    <row r="260" spans="1:9" ht="18" customHeight="1">
      <c r="B260" s="176" t="s">
        <v>339</v>
      </c>
      <c r="C260" s="64" t="s">
        <v>227</v>
      </c>
      <c r="D260" s="35">
        <v>110</v>
      </c>
      <c r="E260" s="68">
        <v>3.36</v>
      </c>
      <c r="F260" s="68">
        <v>3.67</v>
      </c>
      <c r="G260" s="68">
        <v>15.05</v>
      </c>
      <c r="H260" s="68">
        <v>106.7</v>
      </c>
      <c r="I260" s="68">
        <v>6.19</v>
      </c>
    </row>
    <row r="261" spans="1:9" ht="18" customHeight="1">
      <c r="B261" s="176" t="s">
        <v>340</v>
      </c>
      <c r="C261" s="64" t="s">
        <v>88</v>
      </c>
      <c r="D261" s="35">
        <v>180</v>
      </c>
      <c r="E261" s="68">
        <v>0.4</v>
      </c>
      <c r="F261" s="68">
        <v>0.02</v>
      </c>
      <c r="G261" s="68">
        <v>19</v>
      </c>
      <c r="H261" s="68">
        <v>77.7</v>
      </c>
      <c r="I261" s="68">
        <v>0.36</v>
      </c>
    </row>
    <row r="262" spans="1:9" ht="18" customHeight="1">
      <c r="B262" s="72"/>
      <c r="C262" s="64" t="s">
        <v>12</v>
      </c>
      <c r="D262" s="35">
        <v>20</v>
      </c>
      <c r="E262" s="68">
        <v>1.3</v>
      </c>
      <c r="F262" s="68">
        <v>0.2</v>
      </c>
      <c r="G262" s="68">
        <v>6.7</v>
      </c>
      <c r="H262" s="68">
        <v>39</v>
      </c>
      <c r="I262" s="68">
        <v>0</v>
      </c>
    </row>
    <row r="263" spans="1:9" ht="18.75" customHeight="1">
      <c r="B263" s="72"/>
      <c r="C263" s="64" t="s">
        <v>96</v>
      </c>
      <c r="D263" s="35">
        <v>10</v>
      </c>
      <c r="E263" s="68">
        <v>0.7</v>
      </c>
      <c r="F263" s="68">
        <v>7.0000000000000007E-2</v>
      </c>
      <c r="G263" s="68">
        <v>4.7</v>
      </c>
      <c r="H263" s="68">
        <v>22.7</v>
      </c>
      <c r="I263" s="68">
        <v>0</v>
      </c>
    </row>
    <row r="264" spans="1:9" ht="18" customHeight="1">
      <c r="B264" s="72"/>
      <c r="C264" s="113" t="s">
        <v>10</v>
      </c>
      <c r="D264" s="35">
        <v>608</v>
      </c>
      <c r="E264" s="92">
        <f>SUM(E257:E263)</f>
        <v>17.939999999999998</v>
      </c>
      <c r="F264" s="111">
        <f>SUM(F257:F263)</f>
        <v>15.78</v>
      </c>
      <c r="G264" s="111">
        <f>SUM(G257:G263)</f>
        <v>64.33</v>
      </c>
      <c r="H264" s="111">
        <f>SUM(H257:H263)</f>
        <v>477.47999999999996</v>
      </c>
      <c r="I264" s="111">
        <f>SUM(I257:I263)</f>
        <v>20.68</v>
      </c>
    </row>
    <row r="265" spans="1:9" ht="18" customHeight="1">
      <c r="A265" s="33">
        <v>7</v>
      </c>
      <c r="B265" s="188" t="s">
        <v>215</v>
      </c>
      <c r="C265" s="188"/>
      <c r="D265" s="188"/>
      <c r="E265" s="188"/>
      <c r="F265" s="188"/>
      <c r="G265" s="188"/>
      <c r="H265" s="188"/>
      <c r="I265" s="188"/>
    </row>
    <row r="266" spans="1:9" s="65" customFormat="1" ht="18" customHeight="1">
      <c r="B266" s="85"/>
      <c r="C266" s="64" t="s">
        <v>186</v>
      </c>
      <c r="D266" s="69">
        <v>30</v>
      </c>
      <c r="E266" s="68">
        <v>1.59</v>
      </c>
      <c r="F266" s="68">
        <v>1.1200000000000001</v>
      </c>
      <c r="G266" s="68">
        <v>18.850000000000001</v>
      </c>
      <c r="H266" s="68">
        <v>43.2</v>
      </c>
      <c r="I266" s="68">
        <v>0</v>
      </c>
    </row>
    <row r="267" spans="1:9" s="65" customFormat="1" ht="18" customHeight="1">
      <c r="B267" s="140" t="s">
        <v>258</v>
      </c>
      <c r="C267" s="64" t="s">
        <v>259</v>
      </c>
      <c r="D267" s="69" t="s">
        <v>149</v>
      </c>
      <c r="E267" s="68">
        <v>4.6399999999999997</v>
      </c>
      <c r="F267" s="68">
        <v>4</v>
      </c>
      <c r="G267" s="68">
        <v>10.84</v>
      </c>
      <c r="H267" s="68">
        <v>97.78</v>
      </c>
      <c r="I267" s="68">
        <v>1.1200000000000001</v>
      </c>
    </row>
    <row r="268" spans="1:9" s="65" customFormat="1" ht="18" customHeight="1">
      <c r="B268" s="85"/>
      <c r="C268" s="113" t="s">
        <v>10</v>
      </c>
      <c r="D268" s="69">
        <v>195</v>
      </c>
      <c r="E268" s="92">
        <f>SUM(E266:E267)</f>
        <v>6.2299999999999995</v>
      </c>
      <c r="F268" s="111">
        <f>SUM(F266:F267)</f>
        <v>5.12</v>
      </c>
      <c r="G268" s="111">
        <f>SUM(G266:G267)</f>
        <v>29.69</v>
      </c>
      <c r="H268" s="111">
        <f>SUM(H266:H267)</f>
        <v>140.98000000000002</v>
      </c>
      <c r="I268" s="111">
        <f>SUM(I266:I267)</f>
        <v>1.1200000000000001</v>
      </c>
    </row>
    <row r="269" spans="1:9" s="65" customFormat="1" ht="18" customHeight="1">
      <c r="B269" s="182" t="s">
        <v>216</v>
      </c>
      <c r="C269" s="183"/>
      <c r="D269" s="183"/>
      <c r="E269" s="183"/>
      <c r="F269" s="183"/>
      <c r="G269" s="183"/>
      <c r="H269" s="183"/>
      <c r="I269" s="183"/>
    </row>
    <row r="270" spans="1:9" s="65" customFormat="1" ht="18" customHeight="1">
      <c r="B270" s="176" t="s">
        <v>354</v>
      </c>
      <c r="C270" s="64" t="s">
        <v>209</v>
      </c>
      <c r="D270" s="69">
        <v>30</v>
      </c>
      <c r="E270" s="68">
        <v>0.36</v>
      </c>
      <c r="F270" s="68">
        <v>0.89</v>
      </c>
      <c r="G270" s="68">
        <v>3.04</v>
      </c>
      <c r="H270" s="68">
        <v>21.63</v>
      </c>
      <c r="I270" s="68">
        <v>0.76</v>
      </c>
    </row>
    <row r="271" spans="1:9" s="65" customFormat="1" ht="18" customHeight="1">
      <c r="B271" s="174" t="s">
        <v>328</v>
      </c>
      <c r="C271" s="64" t="s">
        <v>210</v>
      </c>
      <c r="D271" s="69" t="s">
        <v>211</v>
      </c>
      <c r="E271" s="68">
        <v>7.27</v>
      </c>
      <c r="F271" s="68">
        <v>13.15</v>
      </c>
      <c r="G271" s="68">
        <v>20.43</v>
      </c>
      <c r="H271" s="68">
        <v>232.6</v>
      </c>
      <c r="I271" s="68">
        <v>2.85</v>
      </c>
    </row>
    <row r="272" spans="1:9" ht="18" customHeight="1">
      <c r="B272" s="85"/>
      <c r="C272" s="64" t="s">
        <v>12</v>
      </c>
      <c r="D272" s="69">
        <v>20</v>
      </c>
      <c r="E272" s="68">
        <v>1.3</v>
      </c>
      <c r="F272" s="68">
        <v>0.2</v>
      </c>
      <c r="G272" s="68">
        <v>6.7</v>
      </c>
      <c r="H272" s="68">
        <v>39</v>
      </c>
      <c r="I272" s="68">
        <v>0</v>
      </c>
    </row>
    <row r="273" spans="1:9" s="65" customFormat="1" ht="18" customHeight="1">
      <c r="B273" s="111"/>
      <c r="C273" s="64" t="s">
        <v>96</v>
      </c>
      <c r="D273" s="69">
        <v>25</v>
      </c>
      <c r="E273" s="68">
        <v>1.7</v>
      </c>
      <c r="F273" s="68">
        <v>0.2</v>
      </c>
      <c r="G273" s="68">
        <v>11.7</v>
      </c>
      <c r="H273" s="68">
        <v>56</v>
      </c>
      <c r="I273" s="68">
        <v>0</v>
      </c>
    </row>
    <row r="274" spans="1:9" s="65" customFormat="1" ht="18" customHeight="1">
      <c r="B274" s="176" t="s">
        <v>310</v>
      </c>
      <c r="C274" s="64" t="s">
        <v>115</v>
      </c>
      <c r="D274" s="69" t="s">
        <v>148</v>
      </c>
      <c r="E274" s="68">
        <v>0.01</v>
      </c>
      <c r="F274" s="68">
        <v>0.01</v>
      </c>
      <c r="G274" s="68">
        <v>4.99</v>
      </c>
      <c r="H274" s="68">
        <v>19.95</v>
      </c>
      <c r="I274" s="68">
        <v>0.02</v>
      </c>
    </row>
    <row r="275" spans="1:9" s="65" customFormat="1" ht="18" customHeight="1">
      <c r="B275" s="169" t="s">
        <v>311</v>
      </c>
      <c r="C275" s="64" t="s">
        <v>212</v>
      </c>
      <c r="D275" s="69">
        <v>95</v>
      </c>
      <c r="E275" s="68">
        <v>0.38</v>
      </c>
      <c r="F275" s="68">
        <v>0.28000000000000003</v>
      </c>
      <c r="G275" s="68">
        <v>9.8000000000000007</v>
      </c>
      <c r="H275" s="68">
        <v>44</v>
      </c>
      <c r="I275" s="68">
        <v>4.75</v>
      </c>
    </row>
    <row r="276" spans="1:9" ht="18" customHeight="1">
      <c r="A276" s="33">
        <v>7</v>
      </c>
      <c r="B276" s="34"/>
      <c r="C276" s="113" t="s">
        <v>10</v>
      </c>
      <c r="D276" s="35">
        <v>460</v>
      </c>
      <c r="E276" s="34">
        <f>SUM(E270:E275)</f>
        <v>11.02</v>
      </c>
      <c r="F276" s="126">
        <f>SUM(F270:F275)</f>
        <v>14.729999999999999</v>
      </c>
      <c r="G276" s="126">
        <f>SUM(G270:G275)</f>
        <v>56.66</v>
      </c>
      <c r="H276" s="126">
        <f>SUM(H270:H275)</f>
        <v>413.18</v>
      </c>
      <c r="I276" s="126">
        <f>SUM(I270:I275)</f>
        <v>8.3800000000000008</v>
      </c>
    </row>
    <row r="277" spans="1:9" ht="18" customHeight="1">
      <c r="A277" s="33">
        <v>7</v>
      </c>
      <c r="B277" s="34"/>
      <c r="C277" s="72" t="s">
        <v>19</v>
      </c>
      <c r="D277" s="35">
        <f>D252+D255+D264+D268+D276</f>
        <v>1698</v>
      </c>
      <c r="E277" s="34">
        <f>E252+E255+E264+E276+E268</f>
        <v>46.129999999999995</v>
      </c>
      <c r="F277" s="72">
        <f>F252+F255+F264+F276+F268</f>
        <v>48.679999999999993</v>
      </c>
      <c r="G277" s="72">
        <f>G252+G255+G264+G276+G268</f>
        <v>208.49</v>
      </c>
      <c r="H277" s="72">
        <f>H252+H255+H264+H276+H268</f>
        <v>1432.18</v>
      </c>
      <c r="I277" s="72">
        <f>I252+I255+I264+I276+I268</f>
        <v>42.26</v>
      </c>
    </row>
    <row r="278" spans="1:9" s="65" customFormat="1" ht="20.100000000000001" customHeight="1">
      <c r="B278" s="122"/>
      <c r="C278" s="122" t="s">
        <v>141</v>
      </c>
      <c r="D278" s="123"/>
      <c r="E278" s="122">
        <v>42</v>
      </c>
      <c r="F278" s="122">
        <v>47</v>
      </c>
      <c r="G278" s="122">
        <v>203</v>
      </c>
      <c r="H278" s="122">
        <v>1400</v>
      </c>
      <c r="I278" s="122">
        <v>45</v>
      </c>
    </row>
    <row r="279" spans="1:9" s="65" customFormat="1" ht="20.100000000000001" customHeight="1">
      <c r="B279" s="124"/>
      <c r="C279" s="124" t="s">
        <v>142</v>
      </c>
      <c r="D279" s="125"/>
      <c r="E279" s="124">
        <f>ROUND(E277/E278*100-100,2)</f>
        <v>9.83</v>
      </c>
      <c r="F279" s="124">
        <f t="shared" ref="F279:I279" si="34">ROUND(F277/F278*100-100,2)</f>
        <v>3.57</v>
      </c>
      <c r="G279" s="124">
        <f t="shared" si="34"/>
        <v>2.7</v>
      </c>
      <c r="H279" s="124">
        <f t="shared" si="34"/>
        <v>2.2999999999999998</v>
      </c>
      <c r="I279" s="124">
        <f t="shared" si="34"/>
        <v>-6.09</v>
      </c>
    </row>
    <row r="280" spans="1:9" s="28" customFormat="1" ht="20.100000000000001" customHeight="1">
      <c r="B280" s="29" t="s">
        <v>217</v>
      </c>
      <c r="C280" s="30"/>
      <c r="D280" s="39"/>
      <c r="E280" s="40"/>
      <c r="F280" s="40"/>
      <c r="G280" s="40"/>
      <c r="H280" s="40"/>
      <c r="I280" s="40"/>
    </row>
    <row r="281" spans="1:9" s="28" customFormat="1" ht="20.100000000000001" customHeight="1">
      <c r="B281" s="29" t="s">
        <v>71</v>
      </c>
      <c r="C281" s="30"/>
      <c r="D281" s="39"/>
      <c r="E281" s="40"/>
      <c r="F281" s="40"/>
      <c r="G281" s="40"/>
      <c r="H281" s="40"/>
      <c r="I281" s="40"/>
    </row>
    <row r="282" spans="1:9" s="28" customFormat="1" ht="20.100000000000001" customHeight="1">
      <c r="B282" s="29" t="s">
        <v>185</v>
      </c>
      <c r="C282" s="30"/>
      <c r="D282" s="39"/>
      <c r="E282" s="40"/>
      <c r="F282" s="40"/>
      <c r="G282" s="40"/>
      <c r="H282" s="40"/>
      <c r="I282" s="40"/>
    </row>
    <row r="283" spans="1:9" s="28" customFormat="1">
      <c r="B283" s="29" t="s">
        <v>145</v>
      </c>
      <c r="C283" s="30"/>
      <c r="D283" s="31"/>
      <c r="E283" s="32"/>
      <c r="F283" s="32"/>
      <c r="G283" s="32"/>
      <c r="H283" s="32"/>
      <c r="I283" s="32"/>
    </row>
    <row r="284" spans="1:9" s="28" customFormat="1" ht="17.45" customHeight="1">
      <c r="B284" s="38"/>
      <c r="C284" s="38"/>
      <c r="D284" s="39"/>
      <c r="E284" s="40"/>
      <c r="F284" s="40"/>
      <c r="G284" s="40"/>
      <c r="H284" s="40"/>
      <c r="I284" s="40"/>
    </row>
    <row r="285" spans="1:9" s="28" customFormat="1" ht="36" customHeight="1">
      <c r="B285" s="189" t="s">
        <v>0</v>
      </c>
      <c r="C285" s="189" t="s">
        <v>1</v>
      </c>
      <c r="D285" s="190" t="s">
        <v>2</v>
      </c>
      <c r="E285" s="188" t="s">
        <v>3</v>
      </c>
      <c r="F285" s="188"/>
      <c r="G285" s="188"/>
      <c r="H285" s="188" t="s">
        <v>4</v>
      </c>
      <c r="I285" s="101"/>
    </row>
    <row r="286" spans="1:9" s="28" customFormat="1" ht="38.25" customHeight="1">
      <c r="B286" s="189"/>
      <c r="C286" s="189"/>
      <c r="D286" s="190"/>
      <c r="E286" s="34" t="s">
        <v>5</v>
      </c>
      <c r="F286" s="34" t="s">
        <v>6</v>
      </c>
      <c r="G286" s="34" t="s">
        <v>7</v>
      </c>
      <c r="H286" s="188"/>
      <c r="I286" s="34" t="s">
        <v>8</v>
      </c>
    </row>
    <row r="287" spans="1:9" ht="18" customHeight="1">
      <c r="A287" s="33">
        <v>8</v>
      </c>
      <c r="B287" s="188" t="s">
        <v>158</v>
      </c>
      <c r="C287" s="188"/>
      <c r="D287" s="188"/>
      <c r="E287" s="188"/>
      <c r="F287" s="188"/>
      <c r="G287" s="188"/>
      <c r="H287" s="188"/>
      <c r="I287" s="188"/>
    </row>
    <row r="288" spans="1:9" ht="36" customHeight="1">
      <c r="A288" s="33">
        <v>8</v>
      </c>
      <c r="B288" s="34" t="s">
        <v>157</v>
      </c>
      <c r="C288" s="20" t="s">
        <v>156</v>
      </c>
      <c r="D288" s="69">
        <v>150</v>
      </c>
      <c r="E288" s="36">
        <v>2.2200000000000002</v>
      </c>
      <c r="F288" s="36">
        <v>2.68</v>
      </c>
      <c r="G288" s="36">
        <v>4.5999999999999996</v>
      </c>
      <c r="H288" s="36">
        <v>53.4</v>
      </c>
      <c r="I288" s="36">
        <v>0.5</v>
      </c>
    </row>
    <row r="289" spans="1:9" ht="18" customHeight="1">
      <c r="B289" s="167" t="s">
        <v>302</v>
      </c>
      <c r="C289" s="20" t="s">
        <v>144</v>
      </c>
      <c r="D289" s="55" t="s">
        <v>143</v>
      </c>
      <c r="E289" s="36">
        <v>7.52</v>
      </c>
      <c r="F289" s="36">
        <v>9.5</v>
      </c>
      <c r="G289" s="36">
        <v>1.51</v>
      </c>
      <c r="H289" s="36">
        <v>121</v>
      </c>
      <c r="I289" s="36">
        <v>0.15</v>
      </c>
    </row>
    <row r="290" spans="1:9" ht="18.600000000000001" customHeight="1">
      <c r="B290" s="74"/>
      <c r="C290" s="64" t="s">
        <v>96</v>
      </c>
      <c r="D290" s="55">
        <v>25</v>
      </c>
      <c r="E290" s="36">
        <v>1.7</v>
      </c>
      <c r="F290" s="36">
        <v>0.2</v>
      </c>
      <c r="G290" s="36">
        <v>11.7</v>
      </c>
      <c r="H290" s="36">
        <v>56</v>
      </c>
      <c r="I290" s="36">
        <v>0</v>
      </c>
    </row>
    <row r="291" spans="1:9" ht="18" customHeight="1">
      <c r="B291" s="167" t="s">
        <v>307</v>
      </c>
      <c r="C291" s="64" t="s">
        <v>97</v>
      </c>
      <c r="D291" s="35">
        <v>150</v>
      </c>
      <c r="E291" s="36">
        <v>2.34</v>
      </c>
      <c r="F291" s="36">
        <v>2</v>
      </c>
      <c r="G291" s="36">
        <v>10.63</v>
      </c>
      <c r="H291" s="36">
        <v>70</v>
      </c>
      <c r="I291" s="36">
        <v>0.98</v>
      </c>
    </row>
    <row r="292" spans="1:9" ht="18" customHeight="1">
      <c r="A292" s="33">
        <v>8</v>
      </c>
      <c r="B292" s="34"/>
      <c r="C292" s="113" t="s">
        <v>10</v>
      </c>
      <c r="D292" s="35">
        <v>410</v>
      </c>
      <c r="E292" s="50">
        <f>E288+E289+E290+E291</f>
        <v>13.78</v>
      </c>
      <c r="F292" s="50">
        <f t="shared" ref="F292:I292" si="35">F288+F289+F290+F291</f>
        <v>14.379999999999999</v>
      </c>
      <c r="G292" s="50">
        <f t="shared" si="35"/>
        <v>28.439999999999998</v>
      </c>
      <c r="H292" s="50">
        <f t="shared" si="35"/>
        <v>300.39999999999998</v>
      </c>
      <c r="I292" s="50">
        <f t="shared" si="35"/>
        <v>1.63</v>
      </c>
    </row>
    <row r="293" spans="1:9" s="65" customFormat="1" ht="18" customHeight="1">
      <c r="B293" s="182" t="s">
        <v>159</v>
      </c>
      <c r="C293" s="183"/>
      <c r="D293" s="183"/>
      <c r="E293" s="183"/>
      <c r="F293" s="183"/>
      <c r="G293" s="183"/>
      <c r="H293" s="183"/>
      <c r="I293" s="183"/>
    </row>
    <row r="294" spans="1:9" s="65" customFormat="1" ht="18" customHeight="1">
      <c r="B294" s="171" t="s">
        <v>312</v>
      </c>
      <c r="C294" s="64" t="s">
        <v>188</v>
      </c>
      <c r="D294" s="69">
        <v>150</v>
      </c>
      <c r="E294" s="36">
        <v>0.75</v>
      </c>
      <c r="F294" s="36">
        <v>0</v>
      </c>
      <c r="G294" s="36">
        <v>19.05</v>
      </c>
      <c r="H294" s="36">
        <v>79</v>
      </c>
      <c r="I294" s="36">
        <v>6</v>
      </c>
    </row>
    <row r="295" spans="1:9" s="65" customFormat="1" ht="18" customHeight="1">
      <c r="B295" s="74"/>
      <c r="C295" s="113" t="s">
        <v>10</v>
      </c>
      <c r="D295" s="75">
        <f>D294</f>
        <v>150</v>
      </c>
      <c r="E295" s="50">
        <f>E294</f>
        <v>0.75</v>
      </c>
      <c r="F295" s="50">
        <f t="shared" ref="F295:I295" si="36">F294</f>
        <v>0</v>
      </c>
      <c r="G295" s="50">
        <f t="shared" si="36"/>
        <v>19.05</v>
      </c>
      <c r="H295" s="50">
        <f t="shared" si="36"/>
        <v>79</v>
      </c>
      <c r="I295" s="50">
        <f t="shared" si="36"/>
        <v>6</v>
      </c>
    </row>
    <row r="296" spans="1:9" ht="18" customHeight="1">
      <c r="A296" s="33">
        <v>8</v>
      </c>
      <c r="B296" s="188" t="s">
        <v>236</v>
      </c>
      <c r="C296" s="188"/>
      <c r="D296" s="188"/>
      <c r="E296" s="188"/>
      <c r="F296" s="188"/>
      <c r="G296" s="188"/>
      <c r="H296" s="188"/>
      <c r="I296" s="188"/>
    </row>
    <row r="297" spans="1:9" ht="18" customHeight="1">
      <c r="B297" s="172" t="s">
        <v>315</v>
      </c>
      <c r="C297" s="20" t="s">
        <v>123</v>
      </c>
      <c r="D297" s="56">
        <v>40</v>
      </c>
      <c r="E297" s="37">
        <v>0.88</v>
      </c>
      <c r="F297" s="68">
        <v>1.84</v>
      </c>
      <c r="G297" s="68">
        <v>4.3499999999999996</v>
      </c>
      <c r="H297" s="68">
        <v>37.479999999999997</v>
      </c>
      <c r="I297" s="68">
        <v>2.0499999999999998</v>
      </c>
    </row>
    <row r="298" spans="1:9" ht="18" customHeight="1">
      <c r="A298" s="33">
        <v>8</v>
      </c>
      <c r="B298" s="172" t="s">
        <v>324</v>
      </c>
      <c r="C298" s="64" t="s">
        <v>287</v>
      </c>
      <c r="D298" s="69" t="s">
        <v>235</v>
      </c>
      <c r="E298" s="68">
        <v>1.3</v>
      </c>
      <c r="F298" s="68">
        <v>3.5</v>
      </c>
      <c r="G298" s="68">
        <v>9.1</v>
      </c>
      <c r="H298" s="68">
        <v>73.8</v>
      </c>
      <c r="I298" s="68">
        <v>7.4</v>
      </c>
    </row>
    <row r="299" spans="1:9" ht="18" customHeight="1">
      <c r="A299" s="33">
        <v>8</v>
      </c>
      <c r="B299" s="174" t="s">
        <v>333</v>
      </c>
      <c r="C299" s="20" t="s">
        <v>133</v>
      </c>
      <c r="D299" s="69">
        <v>60</v>
      </c>
      <c r="E299" s="68">
        <v>9.6300000000000008</v>
      </c>
      <c r="F299" s="37">
        <v>8.68</v>
      </c>
      <c r="G299" s="37">
        <v>9.98</v>
      </c>
      <c r="H299" s="37">
        <v>157</v>
      </c>
      <c r="I299" s="37">
        <v>0.54</v>
      </c>
    </row>
    <row r="300" spans="1:9" ht="18" customHeight="1">
      <c r="A300" s="33">
        <v>8</v>
      </c>
      <c r="B300" s="176" t="s">
        <v>339</v>
      </c>
      <c r="C300" s="64" t="s">
        <v>225</v>
      </c>
      <c r="D300" s="35">
        <v>110</v>
      </c>
      <c r="E300" s="68">
        <v>1.1599999999999999</v>
      </c>
      <c r="F300" s="68">
        <v>2.71</v>
      </c>
      <c r="G300" s="68">
        <v>12</v>
      </c>
      <c r="H300" s="68">
        <v>77.349999999999994</v>
      </c>
      <c r="I300" s="68">
        <v>0</v>
      </c>
    </row>
    <row r="301" spans="1:9" ht="19.5" customHeight="1">
      <c r="A301" s="33">
        <v>8</v>
      </c>
      <c r="B301" s="176" t="s">
        <v>343</v>
      </c>
      <c r="C301" s="20" t="s">
        <v>163</v>
      </c>
      <c r="D301" s="35">
        <v>150</v>
      </c>
      <c r="E301" s="68">
        <v>0</v>
      </c>
      <c r="F301" s="68">
        <v>0</v>
      </c>
      <c r="G301" s="68">
        <v>10.01</v>
      </c>
      <c r="H301" s="68">
        <v>37</v>
      </c>
      <c r="I301" s="68">
        <v>0</v>
      </c>
    </row>
    <row r="302" spans="1:9" ht="18" customHeight="1">
      <c r="A302" s="33">
        <v>8</v>
      </c>
      <c r="B302" s="74"/>
      <c r="C302" s="20" t="s">
        <v>12</v>
      </c>
      <c r="D302" s="35">
        <v>20</v>
      </c>
      <c r="E302" s="68">
        <v>1.3</v>
      </c>
      <c r="F302" s="68">
        <v>0.2</v>
      </c>
      <c r="G302" s="68">
        <v>6.7</v>
      </c>
      <c r="H302" s="68">
        <v>39</v>
      </c>
      <c r="I302" s="68">
        <v>0</v>
      </c>
    </row>
    <row r="303" spans="1:9" ht="18" customHeight="1">
      <c r="A303" s="33">
        <v>8</v>
      </c>
      <c r="B303" s="74"/>
      <c r="C303" s="20" t="s">
        <v>89</v>
      </c>
      <c r="D303" s="35">
        <v>15</v>
      </c>
      <c r="E303" s="68">
        <v>1</v>
      </c>
      <c r="F303" s="68">
        <v>0.1</v>
      </c>
      <c r="G303" s="68">
        <v>7</v>
      </c>
      <c r="H303" s="68">
        <v>34</v>
      </c>
      <c r="I303" s="68">
        <v>0</v>
      </c>
    </row>
    <row r="304" spans="1:9" ht="18" customHeight="1">
      <c r="A304" s="33">
        <v>8</v>
      </c>
      <c r="B304" s="34"/>
      <c r="C304" s="34" t="s">
        <v>10</v>
      </c>
      <c r="D304" s="75">
        <v>584</v>
      </c>
      <c r="E304" s="34">
        <f>SUM(E297:E303)</f>
        <v>15.270000000000001</v>
      </c>
      <c r="F304" s="100">
        <f>SUM(F297:F303)</f>
        <v>17.03</v>
      </c>
      <c r="G304" s="100">
        <f>SUM(G297:G303)</f>
        <v>59.14</v>
      </c>
      <c r="H304" s="100">
        <f>SUM(H297:H303)</f>
        <v>455.63</v>
      </c>
      <c r="I304" s="100">
        <f>SUM(I297:I303)</f>
        <v>9.9899999999999984</v>
      </c>
    </row>
    <row r="305" spans="1:9" ht="18" customHeight="1">
      <c r="A305" s="33">
        <v>8</v>
      </c>
      <c r="B305" s="188" t="s">
        <v>237</v>
      </c>
      <c r="C305" s="188"/>
      <c r="D305" s="188"/>
      <c r="E305" s="188"/>
      <c r="F305" s="188"/>
      <c r="G305" s="188"/>
      <c r="H305" s="188"/>
      <c r="I305" s="188"/>
    </row>
    <row r="306" spans="1:9" s="65" customFormat="1" ht="30.6" customHeight="1">
      <c r="B306" s="176" t="s">
        <v>351</v>
      </c>
      <c r="C306" s="64" t="s">
        <v>239</v>
      </c>
      <c r="D306" s="69">
        <v>50</v>
      </c>
      <c r="E306" s="68">
        <v>2.88</v>
      </c>
      <c r="F306" s="68">
        <v>1.24</v>
      </c>
      <c r="G306" s="68">
        <v>23.94</v>
      </c>
      <c r="H306" s="68">
        <v>118</v>
      </c>
      <c r="I306" s="68">
        <v>0.17</v>
      </c>
    </row>
    <row r="307" spans="1:9" s="65" customFormat="1" ht="18" customHeight="1">
      <c r="B307" s="176" t="s">
        <v>310</v>
      </c>
      <c r="C307" s="64" t="s">
        <v>115</v>
      </c>
      <c r="D307" s="69" t="s">
        <v>148</v>
      </c>
      <c r="E307" s="68">
        <v>0.01</v>
      </c>
      <c r="F307" s="68">
        <v>0.01</v>
      </c>
      <c r="G307" s="68">
        <v>4.99</v>
      </c>
      <c r="H307" s="68">
        <v>19.95</v>
      </c>
      <c r="I307" s="68">
        <v>0.02</v>
      </c>
    </row>
    <row r="308" spans="1:9" s="65" customFormat="1" ht="18" customHeight="1">
      <c r="B308" s="85"/>
      <c r="C308" s="113" t="s">
        <v>10</v>
      </c>
      <c r="D308" s="69">
        <v>205</v>
      </c>
      <c r="E308" s="85">
        <f>E306+E307</f>
        <v>2.8899999999999997</v>
      </c>
      <c r="F308" s="85">
        <f t="shared" ref="F308:I308" si="37">F306+F307</f>
        <v>1.25</v>
      </c>
      <c r="G308" s="85">
        <f t="shared" si="37"/>
        <v>28.93</v>
      </c>
      <c r="H308" s="85">
        <f t="shared" si="37"/>
        <v>137.94999999999999</v>
      </c>
      <c r="I308" s="85">
        <f t="shared" si="37"/>
        <v>0.19</v>
      </c>
    </row>
    <row r="309" spans="1:9" s="65" customFormat="1" ht="18" customHeight="1">
      <c r="B309" s="182" t="s">
        <v>238</v>
      </c>
      <c r="C309" s="183"/>
      <c r="D309" s="183"/>
      <c r="E309" s="183"/>
      <c r="F309" s="183"/>
      <c r="G309" s="183"/>
      <c r="H309" s="183"/>
      <c r="I309" s="183"/>
    </row>
    <row r="310" spans="1:9" s="65" customFormat="1" ht="18" customHeight="1">
      <c r="B310" s="174" t="s">
        <v>334</v>
      </c>
      <c r="C310" s="64" t="s">
        <v>134</v>
      </c>
      <c r="D310" s="69">
        <v>180</v>
      </c>
      <c r="E310" s="68">
        <v>8.66</v>
      </c>
      <c r="F310" s="68">
        <v>5.55</v>
      </c>
      <c r="G310" s="68">
        <v>11.94</v>
      </c>
      <c r="H310" s="68">
        <v>151</v>
      </c>
      <c r="I310" s="68">
        <v>7.34</v>
      </c>
    </row>
    <row r="311" spans="1:9" s="65" customFormat="1" ht="18" customHeight="1">
      <c r="B311" s="172" t="s">
        <v>314</v>
      </c>
      <c r="C311" s="64" t="s">
        <v>86</v>
      </c>
      <c r="D311" s="69">
        <v>40</v>
      </c>
      <c r="E311" s="68">
        <v>0.56000000000000005</v>
      </c>
      <c r="F311" s="68">
        <v>2.0299999999999998</v>
      </c>
      <c r="G311" s="68">
        <v>3.6</v>
      </c>
      <c r="H311" s="68">
        <v>34.96</v>
      </c>
      <c r="I311" s="68">
        <v>12.98</v>
      </c>
    </row>
    <row r="312" spans="1:9" s="63" customFormat="1" ht="21.6" customHeight="1">
      <c r="B312" s="110"/>
      <c r="C312" s="115" t="s">
        <v>12</v>
      </c>
      <c r="D312" s="116">
        <v>20</v>
      </c>
      <c r="E312" s="19">
        <v>1.3</v>
      </c>
      <c r="F312" s="19">
        <v>0.2</v>
      </c>
      <c r="G312" s="19">
        <v>6.7</v>
      </c>
      <c r="H312" s="19">
        <v>39</v>
      </c>
      <c r="I312" s="19">
        <v>0</v>
      </c>
    </row>
    <row r="313" spans="1:9" s="63" customFormat="1" ht="21.6" customHeight="1">
      <c r="B313" s="110"/>
      <c r="C313" s="115" t="s">
        <v>96</v>
      </c>
      <c r="D313" s="116">
        <v>10</v>
      </c>
      <c r="E313" s="19">
        <v>0.7</v>
      </c>
      <c r="F313" s="19">
        <v>7.0000000000000007E-2</v>
      </c>
      <c r="G313" s="19">
        <v>4.7</v>
      </c>
      <c r="H313" s="19">
        <v>22.7</v>
      </c>
      <c r="I313" s="19">
        <v>0</v>
      </c>
    </row>
    <row r="314" spans="1:9" s="63" customFormat="1" ht="21.6" customHeight="1">
      <c r="B314" s="117" t="s">
        <v>308</v>
      </c>
      <c r="C314" s="115" t="s">
        <v>117</v>
      </c>
      <c r="D314" s="116">
        <v>150</v>
      </c>
      <c r="E314" s="19">
        <v>2.65</v>
      </c>
      <c r="F314" s="19">
        <v>2.33</v>
      </c>
      <c r="G314" s="19">
        <v>9.31</v>
      </c>
      <c r="H314" s="19">
        <v>69</v>
      </c>
      <c r="I314" s="19">
        <v>1.19</v>
      </c>
    </row>
    <row r="315" spans="1:9" ht="18" customHeight="1">
      <c r="A315" s="33">
        <v>8</v>
      </c>
      <c r="B315" s="34"/>
      <c r="C315" s="34" t="s">
        <v>10</v>
      </c>
      <c r="D315" s="35">
        <f t="shared" ref="D315:I315" si="38">SUM(D310:D314)</f>
        <v>400</v>
      </c>
      <c r="E315" s="34">
        <f t="shared" si="38"/>
        <v>13.870000000000001</v>
      </c>
      <c r="F315" s="111">
        <f t="shared" si="38"/>
        <v>10.18</v>
      </c>
      <c r="G315" s="111">
        <f t="shared" si="38"/>
        <v>36.25</v>
      </c>
      <c r="H315" s="111">
        <f t="shared" si="38"/>
        <v>316.65999999999997</v>
      </c>
      <c r="I315" s="111">
        <f t="shared" si="38"/>
        <v>21.51</v>
      </c>
    </row>
    <row r="316" spans="1:9" ht="18" customHeight="1">
      <c r="A316" s="33">
        <v>8</v>
      </c>
      <c r="B316" s="34"/>
      <c r="C316" s="34" t="s">
        <v>20</v>
      </c>
      <c r="D316" s="35">
        <f>D315+D308+D304+D295+D292</f>
        <v>1749</v>
      </c>
      <c r="E316" s="34">
        <f>E292+E304+E315+E308+E295</f>
        <v>46.56</v>
      </c>
      <c r="F316" s="85">
        <f>F292+F304+F315+F295+F308</f>
        <v>42.84</v>
      </c>
      <c r="G316" s="85">
        <f>G292+G304+G315+G295+G308</f>
        <v>171.81</v>
      </c>
      <c r="H316" s="85">
        <f>H292+H304+H315+H295+H308</f>
        <v>1289.6400000000001</v>
      </c>
      <c r="I316" s="85">
        <f>I292+I304+I315+I295+I308</f>
        <v>39.319999999999993</v>
      </c>
    </row>
    <row r="317" spans="1:9" s="65" customFormat="1" ht="20.100000000000001" customHeight="1">
      <c r="B317" s="122"/>
      <c r="C317" s="122" t="s">
        <v>141</v>
      </c>
      <c r="D317" s="123"/>
      <c r="E317" s="122">
        <v>42</v>
      </c>
      <c r="F317" s="122">
        <v>47</v>
      </c>
      <c r="G317" s="122">
        <v>203</v>
      </c>
      <c r="H317" s="122">
        <v>1400</v>
      </c>
      <c r="I317" s="122">
        <v>45</v>
      </c>
    </row>
    <row r="318" spans="1:9" s="65" customFormat="1" ht="20.100000000000001" customHeight="1">
      <c r="B318" s="124"/>
      <c r="C318" s="124" t="s">
        <v>142</v>
      </c>
      <c r="D318" s="125"/>
      <c r="E318" s="124">
        <f>ROUND(E316/E317*100-100,2)</f>
        <v>10.86</v>
      </c>
      <c r="F318" s="124">
        <f t="shared" ref="F318:I318" si="39">ROUND(F316/F317*100-100,2)</f>
        <v>-8.85</v>
      </c>
      <c r="G318" s="124">
        <f t="shared" si="39"/>
        <v>-15.36</v>
      </c>
      <c r="H318" s="124">
        <f t="shared" si="39"/>
        <v>-7.88</v>
      </c>
      <c r="I318" s="124">
        <f t="shared" si="39"/>
        <v>-12.62</v>
      </c>
    </row>
    <row r="319" spans="1:9" s="28" customFormat="1" ht="20.100000000000001" customHeight="1">
      <c r="B319" s="29" t="s">
        <v>218</v>
      </c>
      <c r="C319" s="30"/>
      <c r="D319" s="39"/>
      <c r="E319" s="40"/>
      <c r="F319" s="40"/>
      <c r="G319" s="40"/>
      <c r="H319" s="40"/>
      <c r="I319" s="40"/>
    </row>
    <row r="320" spans="1:9" s="28" customFormat="1" ht="20.100000000000001" customHeight="1">
      <c r="B320" s="29" t="s">
        <v>71</v>
      </c>
      <c r="C320" s="30"/>
      <c r="D320" s="39"/>
      <c r="E320" s="40"/>
      <c r="F320" s="40"/>
      <c r="G320" s="40"/>
      <c r="H320" s="40"/>
      <c r="I320" s="40"/>
    </row>
    <row r="321" spans="1:9" s="28" customFormat="1" ht="20.100000000000001" customHeight="1">
      <c r="B321" s="29" t="s">
        <v>185</v>
      </c>
      <c r="C321" s="30"/>
      <c r="D321" s="39"/>
      <c r="E321" s="40"/>
      <c r="F321" s="40"/>
      <c r="G321" s="40"/>
      <c r="H321" s="40"/>
      <c r="I321" s="40"/>
    </row>
    <row r="322" spans="1:9" s="28" customFormat="1">
      <c r="B322" s="29" t="s">
        <v>145</v>
      </c>
      <c r="C322" s="30"/>
      <c r="D322" s="31"/>
      <c r="E322" s="32"/>
      <c r="F322" s="32"/>
      <c r="G322" s="32"/>
      <c r="H322" s="32"/>
      <c r="I322" s="32"/>
    </row>
    <row r="323" spans="1:9" s="28" customFormat="1" ht="33.75" customHeight="1">
      <c r="B323" s="189" t="s">
        <v>0</v>
      </c>
      <c r="C323" s="189" t="s">
        <v>1</v>
      </c>
      <c r="D323" s="190" t="s">
        <v>2</v>
      </c>
      <c r="E323" s="188" t="s">
        <v>3</v>
      </c>
      <c r="F323" s="188"/>
      <c r="G323" s="188"/>
      <c r="H323" s="188" t="s">
        <v>4</v>
      </c>
      <c r="I323" s="101"/>
    </row>
    <row r="324" spans="1:9" s="28" customFormat="1" ht="41.25" customHeight="1">
      <c r="B324" s="189"/>
      <c r="C324" s="189"/>
      <c r="D324" s="190"/>
      <c r="E324" s="34" t="s">
        <v>5</v>
      </c>
      <c r="F324" s="34" t="s">
        <v>6</v>
      </c>
      <c r="G324" s="34" t="s">
        <v>7</v>
      </c>
      <c r="H324" s="188"/>
      <c r="I324" s="34" t="s">
        <v>8</v>
      </c>
    </row>
    <row r="325" spans="1:9" ht="18" customHeight="1">
      <c r="A325" s="33">
        <v>9</v>
      </c>
      <c r="B325" s="188" t="s">
        <v>296</v>
      </c>
      <c r="C325" s="188"/>
      <c r="D325" s="188"/>
      <c r="E325" s="188"/>
      <c r="F325" s="188"/>
      <c r="G325" s="188"/>
      <c r="H325" s="188"/>
      <c r="I325" s="188"/>
    </row>
    <row r="326" spans="1:9" ht="24.6" customHeight="1">
      <c r="B326" s="69" t="s">
        <v>299</v>
      </c>
      <c r="C326" s="20" t="s">
        <v>164</v>
      </c>
      <c r="D326" s="35" t="s">
        <v>148</v>
      </c>
      <c r="E326" s="36">
        <v>4.59</v>
      </c>
      <c r="F326" s="36">
        <v>5.36</v>
      </c>
      <c r="G326" s="36">
        <v>24.48</v>
      </c>
      <c r="H326" s="36">
        <v>164.83</v>
      </c>
      <c r="I326" s="36">
        <v>0.88</v>
      </c>
    </row>
    <row r="327" spans="1:9" ht="18" customHeight="1">
      <c r="B327" s="145" t="s">
        <v>270</v>
      </c>
      <c r="C327" s="64" t="s">
        <v>290</v>
      </c>
      <c r="D327" s="35">
        <v>7</v>
      </c>
      <c r="E327" s="36">
        <v>1.6</v>
      </c>
      <c r="F327" s="36">
        <v>2.1</v>
      </c>
      <c r="G327" s="36">
        <v>0</v>
      </c>
      <c r="H327" s="36">
        <v>26</v>
      </c>
      <c r="I327" s="36">
        <v>0</v>
      </c>
    </row>
    <row r="328" spans="1:9" ht="19.149999999999999" customHeight="1">
      <c r="B328" s="74"/>
      <c r="C328" s="20" t="s">
        <v>96</v>
      </c>
      <c r="D328" s="35">
        <v>25</v>
      </c>
      <c r="E328" s="36">
        <v>1.7</v>
      </c>
      <c r="F328" s="36">
        <v>0.2</v>
      </c>
      <c r="G328" s="36">
        <v>11.7</v>
      </c>
      <c r="H328" s="36">
        <v>56</v>
      </c>
      <c r="I328" s="36">
        <v>0</v>
      </c>
    </row>
    <row r="329" spans="1:9" ht="18" customHeight="1">
      <c r="A329" s="33">
        <v>9</v>
      </c>
      <c r="B329" s="167" t="s">
        <v>308</v>
      </c>
      <c r="C329" s="20" t="s">
        <v>117</v>
      </c>
      <c r="D329" s="35">
        <v>150</v>
      </c>
      <c r="E329" s="36">
        <v>2.65</v>
      </c>
      <c r="F329" s="36">
        <v>2.33</v>
      </c>
      <c r="G329" s="36">
        <v>9.31</v>
      </c>
      <c r="H329" s="36">
        <v>69</v>
      </c>
      <c r="I329" s="36">
        <v>1.19</v>
      </c>
    </row>
    <row r="330" spans="1:9" ht="18" customHeight="1">
      <c r="A330" s="33">
        <v>9</v>
      </c>
      <c r="B330" s="34"/>
      <c r="C330" s="74" t="s">
        <v>10</v>
      </c>
      <c r="D330" s="35">
        <v>337</v>
      </c>
      <c r="E330" s="50">
        <f>SUM(E326:E329)</f>
        <v>10.54</v>
      </c>
      <c r="F330" s="50">
        <f>SUM(F326:F329)</f>
        <v>9.990000000000002</v>
      </c>
      <c r="G330" s="50">
        <f>SUM(G326:G329)</f>
        <v>45.49</v>
      </c>
      <c r="H330" s="50">
        <f>SUM(H326:H329)</f>
        <v>315.83000000000004</v>
      </c>
      <c r="I330" s="50">
        <f>SUM(I326:I329)</f>
        <v>2.0699999999999998</v>
      </c>
    </row>
    <row r="331" spans="1:9" s="65" customFormat="1" ht="18" customHeight="1">
      <c r="B331" s="182" t="s">
        <v>256</v>
      </c>
      <c r="C331" s="183"/>
      <c r="D331" s="183"/>
      <c r="E331" s="183"/>
      <c r="F331" s="183"/>
      <c r="G331" s="183"/>
      <c r="H331" s="183"/>
      <c r="I331" s="183"/>
    </row>
    <row r="332" spans="1:9" s="65" customFormat="1" ht="18" customHeight="1">
      <c r="B332" s="171" t="s">
        <v>311</v>
      </c>
      <c r="C332" s="64" t="s">
        <v>85</v>
      </c>
      <c r="D332" s="75">
        <v>100</v>
      </c>
      <c r="E332" s="36">
        <v>0.4</v>
      </c>
      <c r="F332" s="36">
        <v>0.4</v>
      </c>
      <c r="G332" s="36">
        <v>9.8000000000000007</v>
      </c>
      <c r="H332" s="36">
        <v>44</v>
      </c>
      <c r="I332" s="36">
        <v>10</v>
      </c>
    </row>
    <row r="333" spans="1:9" s="65" customFormat="1" ht="18" customHeight="1">
      <c r="B333" s="74"/>
      <c r="C333" s="74" t="s">
        <v>10</v>
      </c>
      <c r="D333" s="75">
        <f>D332</f>
        <v>100</v>
      </c>
      <c r="E333" s="50">
        <f>E332</f>
        <v>0.4</v>
      </c>
      <c r="F333" s="50">
        <f t="shared" ref="F333:I333" si="40">F332</f>
        <v>0.4</v>
      </c>
      <c r="G333" s="50">
        <f t="shared" si="40"/>
        <v>9.8000000000000007</v>
      </c>
      <c r="H333" s="50">
        <f t="shared" si="40"/>
        <v>44</v>
      </c>
      <c r="I333" s="50">
        <f t="shared" si="40"/>
        <v>10</v>
      </c>
    </row>
    <row r="334" spans="1:9" s="65" customFormat="1" ht="18" customHeight="1">
      <c r="A334" s="65">
        <v>9</v>
      </c>
      <c r="B334" s="182" t="s">
        <v>373</v>
      </c>
      <c r="C334" s="183"/>
      <c r="D334" s="183"/>
      <c r="E334" s="183"/>
      <c r="F334" s="183"/>
      <c r="G334" s="183"/>
      <c r="H334" s="183"/>
      <c r="I334" s="183"/>
    </row>
    <row r="335" spans="1:9" ht="18" customHeight="1">
      <c r="A335" s="33">
        <v>9</v>
      </c>
      <c r="B335" s="147" t="s">
        <v>281</v>
      </c>
      <c r="C335" s="64" t="s">
        <v>114</v>
      </c>
      <c r="D335" s="35">
        <v>40</v>
      </c>
      <c r="E335" s="37">
        <v>0.7</v>
      </c>
      <c r="F335" s="68">
        <v>3.5</v>
      </c>
      <c r="G335" s="68">
        <v>3</v>
      </c>
      <c r="H335" s="68">
        <v>48</v>
      </c>
      <c r="I335" s="68">
        <v>2.7</v>
      </c>
    </row>
    <row r="336" spans="1:9" ht="18" customHeight="1">
      <c r="B336" s="172" t="s">
        <v>318</v>
      </c>
      <c r="C336" s="64" t="s">
        <v>283</v>
      </c>
      <c r="D336" s="69">
        <v>200</v>
      </c>
      <c r="E336" s="68">
        <v>1.58</v>
      </c>
      <c r="F336" s="68">
        <v>2.1</v>
      </c>
      <c r="G336" s="68">
        <v>11.66</v>
      </c>
      <c r="H336" s="68">
        <v>72.599999999999994</v>
      </c>
      <c r="I336" s="68">
        <v>6.6</v>
      </c>
    </row>
    <row r="337" spans="1:9" ht="18" customHeight="1">
      <c r="B337" s="174" t="s">
        <v>326</v>
      </c>
      <c r="C337" s="64" t="s">
        <v>135</v>
      </c>
      <c r="D337" s="35">
        <v>60</v>
      </c>
      <c r="E337" s="68">
        <v>9.32</v>
      </c>
      <c r="F337" s="68">
        <v>7.07</v>
      </c>
      <c r="G337" s="68">
        <v>9.64</v>
      </c>
      <c r="H337" s="68">
        <v>139</v>
      </c>
      <c r="I337" s="68">
        <v>0.09</v>
      </c>
    </row>
    <row r="338" spans="1:9" ht="18" customHeight="1">
      <c r="B338" s="174" t="s">
        <v>335</v>
      </c>
      <c r="C338" s="64" t="s">
        <v>254</v>
      </c>
      <c r="D338" s="75">
        <v>100</v>
      </c>
      <c r="E338" s="68">
        <v>3.5</v>
      </c>
      <c r="F338" s="68">
        <v>2</v>
      </c>
      <c r="G338" s="68">
        <v>21.6</v>
      </c>
      <c r="H338" s="68">
        <v>123</v>
      </c>
      <c r="I338" s="68">
        <v>0</v>
      </c>
    </row>
    <row r="339" spans="1:9" ht="18" customHeight="1">
      <c r="A339" s="33">
        <v>9</v>
      </c>
      <c r="B339" s="176" t="s">
        <v>341</v>
      </c>
      <c r="C339" s="64" t="s">
        <v>219</v>
      </c>
      <c r="D339" s="75">
        <v>180</v>
      </c>
      <c r="E339" s="68">
        <v>0.18</v>
      </c>
      <c r="F339" s="68">
        <v>0.09</v>
      </c>
      <c r="G339" s="68">
        <v>10.98</v>
      </c>
      <c r="H339" s="68">
        <v>44.1</v>
      </c>
      <c r="I339" s="68">
        <v>1.44</v>
      </c>
    </row>
    <row r="340" spans="1:9" ht="18" customHeight="1">
      <c r="B340" s="74"/>
      <c r="C340" s="64" t="s">
        <v>12</v>
      </c>
      <c r="D340" s="75">
        <v>20</v>
      </c>
      <c r="E340" s="68">
        <v>1.3</v>
      </c>
      <c r="F340" s="68">
        <v>0.2</v>
      </c>
      <c r="G340" s="68">
        <v>6.7</v>
      </c>
      <c r="H340" s="68">
        <v>39</v>
      </c>
      <c r="I340" s="68">
        <v>0</v>
      </c>
    </row>
    <row r="341" spans="1:9" ht="18" customHeight="1">
      <c r="B341" s="74"/>
      <c r="C341" s="64" t="s">
        <v>89</v>
      </c>
      <c r="D341" s="35">
        <v>10</v>
      </c>
      <c r="E341" s="68">
        <v>0.7</v>
      </c>
      <c r="F341" s="68">
        <v>7.0000000000000007E-2</v>
      </c>
      <c r="G341" s="68">
        <v>4.7</v>
      </c>
      <c r="H341" s="68">
        <v>22.7</v>
      </c>
      <c r="I341" s="68">
        <v>0</v>
      </c>
    </row>
    <row r="342" spans="1:9" ht="18" customHeight="1">
      <c r="A342" s="33">
        <v>9</v>
      </c>
      <c r="B342" s="34"/>
      <c r="C342" s="91" t="s">
        <v>10</v>
      </c>
      <c r="D342" s="35">
        <f>SUM(D335:D341)</f>
        <v>610</v>
      </c>
      <c r="E342" s="74">
        <f>E335+E336+E337+E338+E339+E340+E341</f>
        <v>17.28</v>
      </c>
      <c r="F342" s="74">
        <f t="shared" ref="F342:I342" si="41">F335+F336+F337+F338+F339+F340+F341</f>
        <v>15.03</v>
      </c>
      <c r="G342" s="74">
        <f t="shared" si="41"/>
        <v>68.280000000000015</v>
      </c>
      <c r="H342" s="74">
        <f t="shared" si="41"/>
        <v>488.40000000000003</v>
      </c>
      <c r="I342" s="74">
        <f t="shared" si="41"/>
        <v>10.83</v>
      </c>
    </row>
    <row r="343" spans="1:9" ht="18" customHeight="1">
      <c r="B343" s="188" t="s">
        <v>255</v>
      </c>
      <c r="C343" s="188"/>
      <c r="D343" s="188"/>
      <c r="E343" s="188"/>
      <c r="F343" s="188"/>
      <c r="G343" s="188"/>
      <c r="H343" s="188"/>
      <c r="I343" s="188"/>
    </row>
    <row r="344" spans="1:9" s="65" customFormat="1" ht="18" customHeight="1">
      <c r="B344" s="176" t="s">
        <v>352</v>
      </c>
      <c r="C344" s="64" t="s">
        <v>82</v>
      </c>
      <c r="D344" s="69">
        <v>50</v>
      </c>
      <c r="E344" s="68">
        <v>3.88</v>
      </c>
      <c r="F344" s="68">
        <v>2.36</v>
      </c>
      <c r="G344" s="68">
        <v>26.15</v>
      </c>
      <c r="H344" s="68">
        <v>141</v>
      </c>
      <c r="I344" s="68">
        <v>0</v>
      </c>
    </row>
    <row r="345" spans="1:9" s="65" customFormat="1" ht="18" customHeight="1">
      <c r="B345" s="176" t="s">
        <v>346</v>
      </c>
      <c r="C345" s="64" t="s">
        <v>92</v>
      </c>
      <c r="D345" s="69">
        <v>180</v>
      </c>
      <c r="E345" s="68">
        <v>5.48</v>
      </c>
      <c r="F345" s="68">
        <v>4.88</v>
      </c>
      <c r="G345" s="68">
        <v>9.07</v>
      </c>
      <c r="H345" s="68">
        <v>102</v>
      </c>
      <c r="I345" s="68">
        <v>2.46</v>
      </c>
    </row>
    <row r="346" spans="1:9" s="65" customFormat="1" ht="18" customHeight="1">
      <c r="B346" s="85"/>
      <c r="C346" s="85" t="s">
        <v>10</v>
      </c>
      <c r="D346" s="69">
        <f t="shared" ref="D346:I346" si="42">SUM(D344:D345)</f>
        <v>230</v>
      </c>
      <c r="E346" s="85">
        <f t="shared" si="42"/>
        <v>9.36</v>
      </c>
      <c r="F346" s="85">
        <f t="shared" si="42"/>
        <v>7.24</v>
      </c>
      <c r="G346" s="85">
        <f t="shared" si="42"/>
        <v>35.22</v>
      </c>
      <c r="H346" s="85">
        <f t="shared" si="42"/>
        <v>243</v>
      </c>
      <c r="I346" s="85">
        <f t="shared" si="42"/>
        <v>2.46</v>
      </c>
    </row>
    <row r="347" spans="1:9" s="65" customFormat="1" ht="18" customHeight="1">
      <c r="B347" s="182" t="s">
        <v>374</v>
      </c>
      <c r="C347" s="183"/>
      <c r="D347" s="183"/>
      <c r="E347" s="183"/>
      <c r="F347" s="183"/>
      <c r="G347" s="183"/>
      <c r="H347" s="183"/>
      <c r="I347" s="183"/>
    </row>
    <row r="348" spans="1:9" ht="18" customHeight="1">
      <c r="B348" s="181" t="s">
        <v>375</v>
      </c>
      <c r="C348" s="64" t="s">
        <v>372</v>
      </c>
      <c r="D348" s="69">
        <v>110</v>
      </c>
      <c r="E348" s="68">
        <v>15</v>
      </c>
      <c r="F348" s="68">
        <v>4</v>
      </c>
      <c r="G348" s="68">
        <v>6.3</v>
      </c>
      <c r="H348" s="68">
        <v>123</v>
      </c>
      <c r="I348" s="68">
        <v>0.7</v>
      </c>
    </row>
    <row r="349" spans="1:9" s="65" customFormat="1" ht="18" customHeight="1">
      <c r="B349" s="180" t="s">
        <v>280</v>
      </c>
      <c r="C349" s="64" t="s">
        <v>106</v>
      </c>
      <c r="D349" s="69">
        <v>90</v>
      </c>
      <c r="E349" s="68">
        <v>2</v>
      </c>
      <c r="F349" s="68">
        <v>2.1</v>
      </c>
      <c r="G349" s="68">
        <v>11.3</v>
      </c>
      <c r="H349" s="68">
        <v>75</v>
      </c>
      <c r="I349" s="68">
        <v>5.3</v>
      </c>
    </row>
    <row r="350" spans="1:9" ht="18" customHeight="1">
      <c r="B350" s="172" t="s">
        <v>317</v>
      </c>
      <c r="C350" s="64" t="s">
        <v>371</v>
      </c>
      <c r="D350" s="35">
        <v>40</v>
      </c>
      <c r="E350" s="68">
        <v>0.56999999999999995</v>
      </c>
      <c r="F350" s="68">
        <v>2.4</v>
      </c>
      <c r="G350" s="68">
        <v>3.34</v>
      </c>
      <c r="H350" s="68">
        <v>37.56</v>
      </c>
      <c r="I350" s="68">
        <v>3.8</v>
      </c>
    </row>
    <row r="351" spans="1:9" s="65" customFormat="1" ht="18" customHeight="1">
      <c r="B351" s="113"/>
      <c r="C351" s="64" t="s">
        <v>12</v>
      </c>
      <c r="D351" s="114">
        <v>20</v>
      </c>
      <c r="E351" s="68">
        <v>1.3</v>
      </c>
      <c r="F351" s="68">
        <v>0.2</v>
      </c>
      <c r="G351" s="68">
        <v>6.7</v>
      </c>
      <c r="H351" s="68">
        <v>39</v>
      </c>
      <c r="I351" s="68">
        <v>0</v>
      </c>
    </row>
    <row r="352" spans="1:9" s="65" customFormat="1" ht="18" customHeight="1">
      <c r="B352" s="142"/>
      <c r="C352" s="64" t="s">
        <v>96</v>
      </c>
      <c r="D352" s="143">
        <v>10</v>
      </c>
      <c r="E352" s="68">
        <v>0.7</v>
      </c>
      <c r="F352" s="68">
        <v>7.0000000000000007E-2</v>
      </c>
      <c r="G352" s="68">
        <v>4.7</v>
      </c>
      <c r="H352" s="68">
        <v>22.7</v>
      </c>
      <c r="I352" s="68">
        <v>0</v>
      </c>
    </row>
    <row r="353" spans="1:9" s="65" customFormat="1" ht="18" customHeight="1">
      <c r="B353" s="176" t="s">
        <v>310</v>
      </c>
      <c r="C353" s="64" t="s">
        <v>115</v>
      </c>
      <c r="D353" s="128" t="s">
        <v>148</v>
      </c>
      <c r="E353" s="68">
        <v>0.01</v>
      </c>
      <c r="F353" s="68">
        <v>0.01</v>
      </c>
      <c r="G353" s="68">
        <v>4.99</v>
      </c>
      <c r="H353" s="68">
        <v>19.95</v>
      </c>
      <c r="I353" s="68">
        <v>0.02</v>
      </c>
    </row>
    <row r="354" spans="1:9" s="65" customFormat="1" ht="18" customHeight="1">
      <c r="B354" s="113"/>
      <c r="C354" s="113" t="s">
        <v>10</v>
      </c>
      <c r="D354" s="114">
        <v>425</v>
      </c>
      <c r="E354" s="113">
        <f>SUM(E348:E353)</f>
        <v>19.580000000000002</v>
      </c>
      <c r="F354" s="127">
        <f>SUM(F348:F353)</f>
        <v>8.7799999999999994</v>
      </c>
      <c r="G354" s="127">
        <f>SUM(G348:G353)</f>
        <v>37.330000000000005</v>
      </c>
      <c r="H354" s="127">
        <f>SUM(H348:H353)</f>
        <v>317.20999999999998</v>
      </c>
      <c r="I354" s="127">
        <f>SUM(I348:I353)</f>
        <v>9.82</v>
      </c>
    </row>
    <row r="355" spans="1:9" ht="18" customHeight="1">
      <c r="A355" s="33">
        <v>9</v>
      </c>
      <c r="B355" s="34"/>
      <c r="C355" s="74" t="s">
        <v>21</v>
      </c>
      <c r="D355" s="35">
        <f t="shared" ref="D355:I355" si="43">D330+D333+D342+D354+D346</f>
        <v>1702</v>
      </c>
      <c r="E355" s="74">
        <f t="shared" si="43"/>
        <v>57.16</v>
      </c>
      <c r="F355" s="113">
        <f t="shared" si="43"/>
        <v>41.440000000000005</v>
      </c>
      <c r="G355" s="113">
        <f t="shared" si="43"/>
        <v>196.12000000000003</v>
      </c>
      <c r="H355" s="113">
        <f t="shared" si="43"/>
        <v>1408.44</v>
      </c>
      <c r="I355" s="113">
        <f t="shared" si="43"/>
        <v>35.18</v>
      </c>
    </row>
    <row r="356" spans="1:9" s="65" customFormat="1" ht="20.100000000000001" customHeight="1">
      <c r="B356" s="122"/>
      <c r="C356" s="122" t="s">
        <v>141</v>
      </c>
      <c r="D356" s="123"/>
      <c r="E356" s="122">
        <v>42</v>
      </c>
      <c r="F356" s="122">
        <v>47</v>
      </c>
      <c r="G356" s="122">
        <v>203</v>
      </c>
      <c r="H356" s="122">
        <v>1400</v>
      </c>
      <c r="I356" s="122">
        <v>45</v>
      </c>
    </row>
    <row r="357" spans="1:9" s="65" customFormat="1" ht="20.100000000000001" customHeight="1">
      <c r="B357" s="124"/>
      <c r="C357" s="124" t="s">
        <v>142</v>
      </c>
      <c r="D357" s="125"/>
      <c r="E357" s="124">
        <f>ROUND(E355/E356*100-100,2)</f>
        <v>36.1</v>
      </c>
      <c r="F357" s="124">
        <f t="shared" ref="F357:I357" si="44">ROUND(F355/F356*100-100,2)</f>
        <v>-11.83</v>
      </c>
      <c r="G357" s="124">
        <f t="shared" si="44"/>
        <v>-3.39</v>
      </c>
      <c r="H357" s="124">
        <f t="shared" si="44"/>
        <v>0.6</v>
      </c>
      <c r="I357" s="124">
        <f t="shared" si="44"/>
        <v>-21.82</v>
      </c>
    </row>
    <row r="358" spans="1:9" s="28" customFormat="1" ht="20.100000000000001" customHeight="1">
      <c r="B358" s="29" t="s">
        <v>220</v>
      </c>
      <c r="C358" s="30"/>
      <c r="D358" s="39"/>
      <c r="E358" s="40"/>
      <c r="F358" s="40"/>
      <c r="G358" s="40"/>
      <c r="H358" s="40"/>
      <c r="I358" s="40"/>
    </row>
    <row r="359" spans="1:9" s="28" customFormat="1" ht="20.100000000000001" customHeight="1">
      <c r="B359" s="29" t="s">
        <v>71</v>
      </c>
      <c r="C359" s="30"/>
      <c r="D359" s="39"/>
      <c r="E359" s="40"/>
      <c r="F359" s="40"/>
      <c r="G359" s="40"/>
      <c r="H359" s="40"/>
      <c r="I359" s="40"/>
    </row>
    <row r="360" spans="1:9" s="28" customFormat="1" ht="20.100000000000001" customHeight="1">
      <c r="B360" s="29" t="s">
        <v>185</v>
      </c>
      <c r="C360" s="30"/>
      <c r="D360" s="39"/>
      <c r="E360" s="40"/>
      <c r="F360" s="40"/>
      <c r="G360" s="40"/>
      <c r="H360" s="40"/>
      <c r="I360" s="40"/>
    </row>
    <row r="361" spans="1:9" s="28" customFormat="1" ht="15" customHeight="1">
      <c r="B361" s="29" t="s">
        <v>147</v>
      </c>
      <c r="C361" s="30"/>
      <c r="D361" s="31"/>
      <c r="E361" s="32"/>
      <c r="F361" s="32"/>
      <c r="G361" s="32"/>
      <c r="H361" s="32"/>
      <c r="I361" s="32"/>
    </row>
    <row r="362" spans="1:9" s="28" customFormat="1" ht="20.100000000000001" hidden="1" customHeight="1">
      <c r="B362" s="38"/>
      <c r="C362" s="38"/>
      <c r="D362" s="39"/>
      <c r="E362" s="40"/>
      <c r="F362" s="40"/>
      <c r="G362" s="40"/>
      <c r="H362" s="40"/>
      <c r="I362" s="40"/>
    </row>
    <row r="363" spans="1:9" s="28" customFormat="1" ht="37.5" customHeight="1">
      <c r="B363" s="189" t="s">
        <v>0</v>
      </c>
      <c r="C363" s="189" t="s">
        <v>1</v>
      </c>
      <c r="D363" s="190" t="s">
        <v>2</v>
      </c>
      <c r="E363" s="188" t="s">
        <v>3</v>
      </c>
      <c r="F363" s="188"/>
      <c r="G363" s="188"/>
      <c r="H363" s="188" t="s">
        <v>4</v>
      </c>
      <c r="I363" s="101"/>
    </row>
    <row r="364" spans="1:9" s="28" customFormat="1" ht="42.75" customHeight="1">
      <c r="B364" s="189"/>
      <c r="C364" s="189"/>
      <c r="D364" s="190"/>
      <c r="E364" s="34" t="s">
        <v>5</v>
      </c>
      <c r="F364" s="34" t="s">
        <v>6</v>
      </c>
      <c r="G364" s="34" t="s">
        <v>7</v>
      </c>
      <c r="H364" s="188"/>
      <c r="I364" s="34" t="s">
        <v>8</v>
      </c>
    </row>
    <row r="365" spans="1:9" ht="18" customHeight="1">
      <c r="A365" s="33">
        <v>10</v>
      </c>
      <c r="B365" s="188" t="s">
        <v>240</v>
      </c>
      <c r="C365" s="188"/>
      <c r="D365" s="188"/>
      <c r="E365" s="188"/>
      <c r="F365" s="188"/>
      <c r="G365" s="188"/>
      <c r="H365" s="186"/>
      <c r="I365" s="186"/>
    </row>
    <row r="366" spans="1:9" ht="31.15" customHeight="1">
      <c r="A366" s="33">
        <v>10</v>
      </c>
      <c r="B366" s="166" t="s">
        <v>301</v>
      </c>
      <c r="C366" s="20" t="s">
        <v>125</v>
      </c>
      <c r="D366" s="69" t="s">
        <v>148</v>
      </c>
      <c r="E366" s="52">
        <v>3.83</v>
      </c>
      <c r="F366" s="52">
        <v>5.36</v>
      </c>
      <c r="G366" s="52">
        <v>25.27</v>
      </c>
      <c r="H366" s="52">
        <v>164.8</v>
      </c>
      <c r="I366" s="52">
        <v>0.88</v>
      </c>
    </row>
    <row r="367" spans="1:9" ht="18" customHeight="1">
      <c r="B367" s="166" t="s">
        <v>304</v>
      </c>
      <c r="C367" s="64" t="s">
        <v>126</v>
      </c>
      <c r="D367" s="59">
        <v>60</v>
      </c>
      <c r="E367" s="52">
        <v>4.5199999999999996</v>
      </c>
      <c r="F367" s="52">
        <v>5.81</v>
      </c>
      <c r="G367" s="52">
        <v>2.19</v>
      </c>
      <c r="H367" s="52">
        <v>79</v>
      </c>
      <c r="I367" s="52">
        <v>0.78</v>
      </c>
    </row>
    <row r="368" spans="1:9" ht="18" customHeight="1">
      <c r="B368" s="51"/>
      <c r="C368" s="20" t="s">
        <v>96</v>
      </c>
      <c r="D368" s="59">
        <v>20</v>
      </c>
      <c r="E368" s="52">
        <v>1.3</v>
      </c>
      <c r="F368" s="52">
        <v>0.1</v>
      </c>
      <c r="G368" s="52">
        <v>9.3000000000000007</v>
      </c>
      <c r="H368" s="52">
        <v>45</v>
      </c>
      <c r="I368" s="52">
        <v>0</v>
      </c>
    </row>
    <row r="369" spans="1:12" ht="18" customHeight="1">
      <c r="A369" s="33">
        <v>10</v>
      </c>
      <c r="B369" s="166" t="s">
        <v>310</v>
      </c>
      <c r="C369" s="64" t="s">
        <v>115</v>
      </c>
      <c r="D369" s="128" t="s">
        <v>148</v>
      </c>
      <c r="E369" s="52">
        <v>0.01</v>
      </c>
      <c r="F369" s="52">
        <v>0.01</v>
      </c>
      <c r="G369" s="52">
        <v>4.99</v>
      </c>
      <c r="H369" s="52">
        <v>19.95</v>
      </c>
      <c r="I369" s="52">
        <v>0.02</v>
      </c>
    </row>
    <row r="370" spans="1:12" s="65" customFormat="1" ht="18" customHeight="1">
      <c r="A370" s="65">
        <v>10</v>
      </c>
      <c r="B370" s="74"/>
      <c r="C370" s="74" t="s">
        <v>10</v>
      </c>
      <c r="D370" s="75">
        <v>410</v>
      </c>
      <c r="E370" s="74">
        <f>E366+E367+E368+E369</f>
        <v>9.66</v>
      </c>
      <c r="F370" s="74">
        <f t="shared" ref="F370:I370" si="45">F366+F367+F368+F369</f>
        <v>11.28</v>
      </c>
      <c r="G370" s="74">
        <f t="shared" si="45"/>
        <v>41.750000000000007</v>
      </c>
      <c r="H370" s="74">
        <f t="shared" si="45"/>
        <v>308.75</v>
      </c>
      <c r="I370" s="74">
        <f t="shared" si="45"/>
        <v>1.6800000000000002</v>
      </c>
    </row>
    <row r="371" spans="1:12" s="65" customFormat="1" ht="18" customHeight="1">
      <c r="B371" s="182" t="s">
        <v>160</v>
      </c>
      <c r="C371" s="183"/>
      <c r="D371" s="183"/>
      <c r="E371" s="183"/>
      <c r="F371" s="183"/>
      <c r="G371" s="183"/>
      <c r="H371" s="183"/>
      <c r="I371" s="183"/>
    </row>
    <row r="372" spans="1:12" s="65" customFormat="1" ht="18" customHeight="1">
      <c r="B372" s="170" t="s">
        <v>312</v>
      </c>
      <c r="C372" s="64" t="s">
        <v>98</v>
      </c>
      <c r="D372" s="75">
        <v>150</v>
      </c>
      <c r="E372" s="52">
        <v>0.75</v>
      </c>
      <c r="F372" s="52">
        <v>0</v>
      </c>
      <c r="G372" s="52">
        <v>15.15</v>
      </c>
      <c r="H372" s="52">
        <v>64</v>
      </c>
      <c r="I372" s="52">
        <v>3</v>
      </c>
    </row>
    <row r="373" spans="1:12" s="65" customFormat="1" ht="18" customHeight="1">
      <c r="B373" s="51"/>
      <c r="C373" s="74" t="s">
        <v>10</v>
      </c>
      <c r="D373" s="75">
        <f>D372</f>
        <v>150</v>
      </c>
      <c r="E373" s="74">
        <f>E372</f>
        <v>0.75</v>
      </c>
      <c r="F373" s="113">
        <f t="shared" ref="F373:I373" si="46">F372</f>
        <v>0</v>
      </c>
      <c r="G373" s="113">
        <f t="shared" si="46"/>
        <v>15.15</v>
      </c>
      <c r="H373" s="113">
        <f t="shared" si="46"/>
        <v>64</v>
      </c>
      <c r="I373" s="113">
        <f t="shared" si="46"/>
        <v>3</v>
      </c>
      <c r="L373" s="65" t="s">
        <v>247</v>
      </c>
    </row>
    <row r="374" spans="1:12" ht="18" customHeight="1">
      <c r="A374" s="33">
        <v>10</v>
      </c>
      <c r="B374" s="188" t="s">
        <v>241</v>
      </c>
      <c r="C374" s="188"/>
      <c r="D374" s="188"/>
      <c r="E374" s="188"/>
      <c r="F374" s="188"/>
      <c r="G374" s="188"/>
      <c r="H374" s="188"/>
      <c r="I374" s="188"/>
    </row>
    <row r="375" spans="1:12" ht="18" customHeight="1">
      <c r="A375" s="33">
        <v>10</v>
      </c>
      <c r="B375" s="172" t="s">
        <v>315</v>
      </c>
      <c r="C375" s="64" t="s">
        <v>128</v>
      </c>
      <c r="D375" s="35">
        <v>40</v>
      </c>
      <c r="E375" s="52">
        <v>0.94</v>
      </c>
      <c r="F375" s="52">
        <v>1.84</v>
      </c>
      <c r="G375" s="52">
        <v>4.93</v>
      </c>
      <c r="H375" s="52">
        <v>40</v>
      </c>
      <c r="I375" s="52">
        <v>2.69</v>
      </c>
    </row>
    <row r="376" spans="1:12" ht="18" customHeight="1">
      <c r="B376" s="172" t="s">
        <v>325</v>
      </c>
      <c r="C376" s="64" t="s">
        <v>137</v>
      </c>
      <c r="D376" s="139" t="s">
        <v>257</v>
      </c>
      <c r="E376" s="52">
        <v>4.82</v>
      </c>
      <c r="F376" s="52">
        <v>2.6</v>
      </c>
      <c r="G376" s="52">
        <v>13.47</v>
      </c>
      <c r="H376" s="52">
        <v>96.54</v>
      </c>
      <c r="I376" s="52">
        <v>9.6199999999999992</v>
      </c>
    </row>
    <row r="377" spans="1:12" ht="18" customHeight="1">
      <c r="A377" s="33">
        <v>10</v>
      </c>
      <c r="B377" s="174" t="s">
        <v>333</v>
      </c>
      <c r="C377" s="64" t="s">
        <v>138</v>
      </c>
      <c r="D377" s="35">
        <v>60</v>
      </c>
      <c r="E377" s="52">
        <v>9.6300000000000008</v>
      </c>
      <c r="F377" s="52">
        <v>8.68</v>
      </c>
      <c r="G377" s="52">
        <v>9.98</v>
      </c>
      <c r="H377" s="52">
        <v>157</v>
      </c>
      <c r="I377" s="52">
        <v>0.54</v>
      </c>
    </row>
    <row r="378" spans="1:12" s="65" customFormat="1" ht="18" customHeight="1">
      <c r="B378" s="138" t="s">
        <v>108</v>
      </c>
      <c r="C378" s="64" t="s">
        <v>107</v>
      </c>
      <c r="D378" s="114">
        <v>150</v>
      </c>
      <c r="E378" s="52">
        <v>3.1</v>
      </c>
      <c r="F378" s="52">
        <v>4.8600000000000003</v>
      </c>
      <c r="G378" s="52">
        <v>13.9</v>
      </c>
      <c r="H378" s="52">
        <v>112.65</v>
      </c>
      <c r="I378" s="52">
        <v>25.7</v>
      </c>
    </row>
    <row r="379" spans="1:12" s="65" customFormat="1" ht="20.25" customHeight="1">
      <c r="B379" s="176" t="s">
        <v>340</v>
      </c>
      <c r="C379" s="64" t="s">
        <v>88</v>
      </c>
      <c r="D379" s="114">
        <v>180</v>
      </c>
      <c r="E379" s="52">
        <v>0.4</v>
      </c>
      <c r="F379" s="52">
        <v>0.02</v>
      </c>
      <c r="G379" s="52">
        <v>19</v>
      </c>
      <c r="H379" s="52">
        <v>77.7</v>
      </c>
      <c r="I379" s="52">
        <v>0.36</v>
      </c>
    </row>
    <row r="380" spans="1:12" ht="18" customHeight="1">
      <c r="B380" s="74"/>
      <c r="C380" s="64" t="s">
        <v>12</v>
      </c>
      <c r="D380" s="35">
        <v>40</v>
      </c>
      <c r="E380" s="52">
        <v>2.6</v>
      </c>
      <c r="F380" s="52">
        <v>0.5</v>
      </c>
      <c r="G380" s="52">
        <v>13.4</v>
      </c>
      <c r="H380" s="52">
        <v>77</v>
      </c>
      <c r="I380" s="52">
        <v>0</v>
      </c>
    </row>
    <row r="381" spans="1:12" ht="18" customHeight="1">
      <c r="B381" s="74"/>
      <c r="C381" s="64" t="s">
        <v>89</v>
      </c>
      <c r="D381" s="55">
        <v>10</v>
      </c>
      <c r="E381" s="52">
        <v>0.7</v>
      </c>
      <c r="F381" s="52">
        <v>7.0000000000000007E-2</v>
      </c>
      <c r="G381" s="52">
        <v>4.7</v>
      </c>
      <c r="H381" s="52">
        <v>22.7</v>
      </c>
      <c r="I381" s="52">
        <v>0</v>
      </c>
    </row>
    <row r="382" spans="1:12" ht="18" customHeight="1">
      <c r="A382" s="33">
        <v>10</v>
      </c>
      <c r="B382" s="34"/>
      <c r="C382" s="34" t="s">
        <v>10</v>
      </c>
      <c r="D382" s="35">
        <v>650</v>
      </c>
      <c r="E382" s="34">
        <f>SUM(E375:E381)</f>
        <v>22.19</v>
      </c>
      <c r="F382" s="113">
        <f>SUM(F375:F381)</f>
        <v>18.57</v>
      </c>
      <c r="G382" s="113">
        <f>SUM(G375:G381)</f>
        <v>79.38000000000001</v>
      </c>
      <c r="H382" s="113">
        <f>SUM(H375:H381)</f>
        <v>583.59000000000015</v>
      </c>
      <c r="I382" s="113">
        <f>SUM(I375:I381)</f>
        <v>38.909999999999997</v>
      </c>
    </row>
    <row r="383" spans="1:12" ht="18" customHeight="1">
      <c r="A383" s="33">
        <v>10</v>
      </c>
      <c r="B383" s="188" t="s">
        <v>161</v>
      </c>
      <c r="C383" s="188"/>
      <c r="D383" s="188"/>
      <c r="E383" s="188"/>
      <c r="F383" s="188"/>
      <c r="G383" s="188"/>
      <c r="H383" s="188"/>
      <c r="I383" s="188"/>
    </row>
    <row r="384" spans="1:12" s="65" customFormat="1" ht="18" customHeight="1">
      <c r="B384" s="85"/>
      <c r="C384" s="64" t="s">
        <v>113</v>
      </c>
      <c r="D384" s="69">
        <v>30</v>
      </c>
      <c r="E384" s="52">
        <v>2.2200000000000002</v>
      </c>
      <c r="F384" s="52">
        <v>2.85</v>
      </c>
      <c r="G384" s="52">
        <v>21.9</v>
      </c>
      <c r="H384" s="52">
        <v>102.1</v>
      </c>
      <c r="I384" s="52">
        <v>0</v>
      </c>
    </row>
    <row r="385" spans="1:9" s="65" customFormat="1" ht="18" customHeight="1">
      <c r="B385" s="176" t="s">
        <v>346</v>
      </c>
      <c r="C385" s="64" t="s">
        <v>92</v>
      </c>
      <c r="D385" s="69">
        <v>180</v>
      </c>
      <c r="E385" s="52">
        <v>5.48</v>
      </c>
      <c r="F385" s="52">
        <v>4.88</v>
      </c>
      <c r="G385" s="52">
        <v>9.07</v>
      </c>
      <c r="H385" s="52">
        <v>102</v>
      </c>
      <c r="I385" s="52">
        <v>2.46</v>
      </c>
    </row>
    <row r="386" spans="1:9" s="65" customFormat="1" ht="18" customHeight="1">
      <c r="B386" s="85"/>
      <c r="C386" s="85" t="s">
        <v>10</v>
      </c>
      <c r="D386" s="69">
        <v>210</v>
      </c>
      <c r="E386" s="85">
        <f>E384+E385</f>
        <v>7.7000000000000011</v>
      </c>
      <c r="F386" s="85">
        <f t="shared" ref="F386:I386" si="47">F384+F385</f>
        <v>7.73</v>
      </c>
      <c r="G386" s="85">
        <f t="shared" si="47"/>
        <v>30.97</v>
      </c>
      <c r="H386" s="85">
        <f t="shared" si="47"/>
        <v>204.1</v>
      </c>
      <c r="I386" s="85">
        <f t="shared" si="47"/>
        <v>2.46</v>
      </c>
    </row>
    <row r="387" spans="1:9" s="65" customFormat="1" ht="18" customHeight="1">
      <c r="B387" s="182" t="s">
        <v>242</v>
      </c>
      <c r="C387" s="183"/>
      <c r="D387" s="183"/>
      <c r="E387" s="183"/>
      <c r="F387" s="183"/>
      <c r="G387" s="183"/>
      <c r="H387" s="183"/>
      <c r="I387" s="183"/>
    </row>
    <row r="388" spans="1:9" s="65" customFormat="1" ht="19.5" customHeight="1">
      <c r="B388" s="176" t="s">
        <v>353</v>
      </c>
      <c r="C388" s="64" t="s">
        <v>139</v>
      </c>
      <c r="D388" s="69">
        <v>100</v>
      </c>
      <c r="E388" s="52">
        <v>10.92</v>
      </c>
      <c r="F388" s="52">
        <v>8.9700000000000006</v>
      </c>
      <c r="G388" s="52">
        <v>12.28</v>
      </c>
      <c r="H388" s="52">
        <v>173</v>
      </c>
      <c r="I388" s="52">
        <v>0.25</v>
      </c>
    </row>
    <row r="389" spans="1:9" s="65" customFormat="1" ht="18" customHeight="1">
      <c r="A389" s="65">
        <v>6</v>
      </c>
      <c r="B389" s="176" t="s">
        <v>345</v>
      </c>
      <c r="C389" s="64" t="s">
        <v>104</v>
      </c>
      <c r="D389" s="93">
        <v>30</v>
      </c>
      <c r="E389" s="52">
        <v>1.1000000000000001</v>
      </c>
      <c r="F389" s="52">
        <v>1.66</v>
      </c>
      <c r="G389" s="52">
        <v>2.38</v>
      </c>
      <c r="H389" s="52">
        <v>40.08</v>
      </c>
      <c r="I389" s="52">
        <v>0.08</v>
      </c>
    </row>
    <row r="390" spans="1:9" ht="19.5" customHeight="1">
      <c r="A390" s="33">
        <v>10</v>
      </c>
      <c r="B390" s="74"/>
      <c r="C390" s="64" t="s">
        <v>96</v>
      </c>
      <c r="D390" s="35">
        <v>25</v>
      </c>
      <c r="E390" s="52">
        <v>1.7</v>
      </c>
      <c r="F390" s="52">
        <v>0.2</v>
      </c>
      <c r="G390" s="52">
        <v>11.7</v>
      </c>
      <c r="H390" s="52">
        <v>56</v>
      </c>
      <c r="I390" s="52">
        <v>0</v>
      </c>
    </row>
    <row r="391" spans="1:9" ht="18.600000000000001" customHeight="1">
      <c r="A391" s="33">
        <v>10</v>
      </c>
      <c r="B391" s="176" t="s">
        <v>343</v>
      </c>
      <c r="C391" s="49" t="s">
        <v>221</v>
      </c>
      <c r="D391" s="35">
        <v>150</v>
      </c>
      <c r="E391" s="52">
        <v>0</v>
      </c>
      <c r="F391" s="37">
        <v>0</v>
      </c>
      <c r="G391" s="37">
        <v>10.01</v>
      </c>
      <c r="H391" s="37">
        <v>37</v>
      </c>
      <c r="I391" s="37">
        <v>0</v>
      </c>
    </row>
    <row r="392" spans="1:9" ht="18" customHeight="1">
      <c r="A392" s="33">
        <v>10</v>
      </c>
      <c r="B392" s="34"/>
      <c r="C392" s="34" t="s">
        <v>10</v>
      </c>
      <c r="D392" s="35">
        <f t="shared" ref="D392:I392" si="48">SUM(D388:D391)</f>
        <v>305</v>
      </c>
      <c r="E392" s="34">
        <f t="shared" si="48"/>
        <v>13.719999999999999</v>
      </c>
      <c r="F392" s="118">
        <f t="shared" si="48"/>
        <v>10.83</v>
      </c>
      <c r="G392" s="118">
        <f t="shared" si="48"/>
        <v>36.369999999999997</v>
      </c>
      <c r="H392" s="118">
        <f t="shared" si="48"/>
        <v>306.08</v>
      </c>
      <c r="I392" s="118">
        <f t="shared" si="48"/>
        <v>0.33</v>
      </c>
    </row>
    <row r="393" spans="1:9" ht="18" customHeight="1">
      <c r="A393" s="33">
        <v>10</v>
      </c>
      <c r="B393" s="34"/>
      <c r="C393" s="34" t="s">
        <v>22</v>
      </c>
      <c r="D393" s="35">
        <f>D370+D373+D382+D386+D392</f>
        <v>1725</v>
      </c>
      <c r="E393" s="100">
        <f t="shared" ref="E393:I393" si="49">E370+E373+E382+E386+E392</f>
        <v>54.02</v>
      </c>
      <c r="F393" s="118">
        <f t="shared" si="49"/>
        <v>48.41</v>
      </c>
      <c r="G393" s="118">
        <f t="shared" si="49"/>
        <v>203.62000000000003</v>
      </c>
      <c r="H393" s="118">
        <f t="shared" si="49"/>
        <v>1466.52</v>
      </c>
      <c r="I393" s="118">
        <f t="shared" si="49"/>
        <v>46.379999999999995</v>
      </c>
    </row>
    <row r="394" spans="1:9" s="65" customFormat="1" ht="20.100000000000001" customHeight="1">
      <c r="B394" s="122"/>
      <c r="C394" s="122" t="s">
        <v>141</v>
      </c>
      <c r="D394" s="123"/>
      <c r="E394" s="122">
        <v>42</v>
      </c>
      <c r="F394" s="122">
        <v>47</v>
      </c>
      <c r="G394" s="122">
        <v>203</v>
      </c>
      <c r="H394" s="122">
        <v>1400</v>
      </c>
      <c r="I394" s="122">
        <v>45</v>
      </c>
    </row>
    <row r="395" spans="1:9" s="65" customFormat="1" ht="20.100000000000001" customHeight="1">
      <c r="B395" s="124"/>
      <c r="C395" s="124" t="s">
        <v>142</v>
      </c>
      <c r="D395" s="125"/>
      <c r="E395" s="124">
        <f>ROUND(E393/E394*100-100,2)</f>
        <v>28.62</v>
      </c>
      <c r="F395" s="124">
        <f t="shared" ref="F395:I395" si="50">ROUND(F393/F394*100-100,2)</f>
        <v>3</v>
      </c>
      <c r="G395" s="124">
        <f t="shared" si="50"/>
        <v>0.31</v>
      </c>
      <c r="H395" s="124">
        <f t="shared" si="50"/>
        <v>4.75</v>
      </c>
      <c r="I395" s="124">
        <f t="shared" si="50"/>
        <v>3.07</v>
      </c>
    </row>
    <row r="397" spans="1:9" ht="20.25">
      <c r="B397" s="120"/>
      <c r="C397" s="120"/>
    </row>
  </sheetData>
  <mergeCells count="100">
    <mergeCell ref="B190:I190"/>
    <mergeCell ref="C49:C50"/>
    <mergeCell ref="D49:D50"/>
    <mergeCell ref="E49:G49"/>
    <mergeCell ref="H49:H50"/>
    <mergeCell ref="B57:I57"/>
    <mergeCell ref="E86:G86"/>
    <mergeCell ref="B128:B129"/>
    <mergeCell ref="H86:H87"/>
    <mergeCell ref="B49:B50"/>
    <mergeCell ref="B88:I88"/>
    <mergeCell ref="B68:I68"/>
    <mergeCell ref="E166:G166"/>
    <mergeCell ref="B98:I98"/>
    <mergeCell ref="B107:I107"/>
    <mergeCell ref="B130:I130"/>
    <mergeCell ref="B363:B364"/>
    <mergeCell ref="C363:C364"/>
    <mergeCell ref="D363:D364"/>
    <mergeCell ref="E363:G363"/>
    <mergeCell ref="H363:H364"/>
    <mergeCell ref="B269:I269"/>
    <mergeCell ref="B265:I265"/>
    <mergeCell ref="B287:I287"/>
    <mergeCell ref="B296:I296"/>
    <mergeCell ref="B305:I305"/>
    <mergeCell ref="B8:I8"/>
    <mergeCell ref="B18:I18"/>
    <mergeCell ref="B28:I28"/>
    <mergeCell ref="B15:I15"/>
    <mergeCell ref="B86:B87"/>
    <mergeCell ref="C86:C87"/>
    <mergeCell ref="D86:D87"/>
    <mergeCell ref="B33:I33"/>
    <mergeCell ref="B72:I72"/>
    <mergeCell ref="B60:I60"/>
    <mergeCell ref="B51:I51"/>
    <mergeCell ref="B6:B7"/>
    <mergeCell ref="C6:C7"/>
    <mergeCell ref="D6:D7"/>
    <mergeCell ref="E6:G6"/>
    <mergeCell ref="H6:H7"/>
    <mergeCell ref="B139:I139"/>
    <mergeCell ref="B147:I147"/>
    <mergeCell ref="B95:I95"/>
    <mergeCell ref="B136:I136"/>
    <mergeCell ref="H166:H167"/>
    <mergeCell ref="B166:B167"/>
    <mergeCell ref="C166:C167"/>
    <mergeCell ref="D166:D167"/>
    <mergeCell ref="B111:I111"/>
    <mergeCell ref="B151:I151"/>
    <mergeCell ref="B387:I387"/>
    <mergeCell ref="B231:I231"/>
    <mergeCell ref="B168:I168"/>
    <mergeCell ref="C128:C129"/>
    <mergeCell ref="D128:D129"/>
    <mergeCell ref="E128:G128"/>
    <mergeCell ref="H128:H129"/>
    <mergeCell ref="B383:I383"/>
    <mergeCell ref="B325:I325"/>
    <mergeCell ref="B177:I177"/>
    <mergeCell ref="B186:I186"/>
    <mergeCell ref="B207:I207"/>
    <mergeCell ref="B216:I216"/>
    <mergeCell ref="B226:I226"/>
    <mergeCell ref="B247:I247"/>
    <mergeCell ref="B256:I256"/>
    <mergeCell ref="B174:I174"/>
    <mergeCell ref="B365:I365"/>
    <mergeCell ref="B374:I374"/>
    <mergeCell ref="B285:B286"/>
    <mergeCell ref="C285:C286"/>
    <mergeCell ref="D285:D286"/>
    <mergeCell ref="E285:G285"/>
    <mergeCell ref="H285:H286"/>
    <mergeCell ref="B323:B324"/>
    <mergeCell ref="C323:C324"/>
    <mergeCell ref="D323:D324"/>
    <mergeCell ref="E323:G323"/>
    <mergeCell ref="H323:H324"/>
    <mergeCell ref="B309:I309"/>
    <mergeCell ref="D205:D206"/>
    <mergeCell ref="E205:G205"/>
    <mergeCell ref="B347:I347"/>
    <mergeCell ref="B371:I371"/>
    <mergeCell ref="B334:I334"/>
    <mergeCell ref="B205:B206"/>
    <mergeCell ref="C205:C206"/>
    <mergeCell ref="H205:H206"/>
    <mergeCell ref="B213:I213"/>
    <mergeCell ref="B253:I253"/>
    <mergeCell ref="B293:I293"/>
    <mergeCell ref="B331:I331"/>
    <mergeCell ref="B343:I343"/>
    <mergeCell ref="H245:H246"/>
    <mergeCell ref="B245:B246"/>
    <mergeCell ref="C245:C246"/>
    <mergeCell ref="D245:D246"/>
    <mergeCell ref="E245:G245"/>
  </mergeCells>
  <pageMargins left="0.39370078740157483" right="0.19685039370078741" top="0.39370078740157483" bottom="0.19685039370078741" header="0" footer="0"/>
  <pageSetup paperSize="9" scale="63" fitToHeight="9" orientation="landscape" r:id="rId1"/>
  <rowBreaks count="9" manualBreakCount="9">
    <brk id="43" max="16383" man="1"/>
    <brk id="81" max="16383" man="1"/>
    <brk id="122" max="16383" man="1"/>
    <brk id="160" max="16383" man="1"/>
    <brk id="199" max="16383" man="1"/>
    <brk id="240" max="16383" man="1"/>
    <brk id="279" max="16383" man="1"/>
    <brk id="318" max="16383" man="1"/>
    <brk id="3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M15"/>
  <sheetViews>
    <sheetView workbookViewId="0">
      <selection activeCell="Q16" sqref="Q16"/>
    </sheetView>
  </sheetViews>
  <sheetFormatPr defaultColWidth="9.140625" defaultRowHeight="15"/>
  <cols>
    <col min="1" max="1" width="9.140625" style="1"/>
    <col min="2" max="2" width="12.85546875" style="1" customWidth="1"/>
    <col min="3" max="3" width="10.7109375" style="1" customWidth="1"/>
    <col min="4" max="5" width="9.28515625" style="1" bestFit="1" customWidth="1"/>
    <col min="6" max="6" width="12.7109375" style="1" customWidth="1"/>
    <col min="7" max="7" width="9.28515625" style="1" bestFit="1" customWidth="1"/>
    <col min="8" max="8" width="9.140625" style="1"/>
    <col min="9" max="9" width="32.42578125" style="1" hidden="1" customWidth="1"/>
    <col min="10" max="13" width="9.28515625" style="1" hidden="1" customWidth="1"/>
    <col min="14" max="16384" width="9.140625" style="1"/>
  </cols>
  <sheetData>
    <row r="2" spans="2:13" ht="40.5" customHeight="1" thickBot="1">
      <c r="B2" s="196" t="s">
        <v>246</v>
      </c>
      <c r="C2" s="196"/>
      <c r="D2" s="196"/>
      <c r="E2" s="196"/>
      <c r="F2" s="196"/>
      <c r="G2" s="196"/>
    </row>
    <row r="3" spans="2:13" ht="75" customHeight="1" thickBot="1">
      <c r="B3" s="15" t="s">
        <v>23</v>
      </c>
      <c r="C3" s="203" t="s">
        <v>3</v>
      </c>
      <c r="D3" s="203"/>
      <c r="E3" s="203"/>
      <c r="F3" s="203" t="s">
        <v>24</v>
      </c>
      <c r="G3" s="102" t="s">
        <v>84</v>
      </c>
      <c r="I3" s="200" t="s">
        <v>28</v>
      </c>
      <c r="J3" s="197" t="s">
        <v>3</v>
      </c>
      <c r="K3" s="198"/>
      <c r="L3" s="199"/>
      <c r="M3" s="2" t="s">
        <v>26</v>
      </c>
    </row>
    <row r="4" spans="2:13" ht="19.5" customHeight="1" thickBot="1">
      <c r="B4" s="16"/>
      <c r="C4" s="15" t="s">
        <v>5</v>
      </c>
      <c r="D4" s="15" t="s">
        <v>6</v>
      </c>
      <c r="E4" s="15" t="s">
        <v>7</v>
      </c>
      <c r="F4" s="203"/>
      <c r="G4" s="15" t="s">
        <v>8</v>
      </c>
      <c r="I4" s="201"/>
      <c r="J4" s="3" t="s">
        <v>5</v>
      </c>
      <c r="K4" s="3" t="s">
        <v>6</v>
      </c>
      <c r="L4" s="3" t="s">
        <v>7</v>
      </c>
      <c r="M4" s="4" t="s">
        <v>27</v>
      </c>
    </row>
    <row r="5" spans="2:13" ht="16.5" customHeight="1" thickBot="1">
      <c r="B5" s="17">
        <v>1</v>
      </c>
      <c r="C5" s="18">
        <f>'на выход'!E41</f>
        <v>70.83</v>
      </c>
      <c r="D5" s="18">
        <f>'на выход'!F41</f>
        <v>75.47999999999999</v>
      </c>
      <c r="E5" s="18">
        <f>'на выход'!G41</f>
        <v>210.35000000000002</v>
      </c>
      <c r="F5" s="18">
        <f>'на выход'!H41</f>
        <v>1832.21</v>
      </c>
      <c r="G5" s="18">
        <f>'на выход'!I41</f>
        <v>42.489999999999995</v>
      </c>
      <c r="I5" s="202"/>
      <c r="J5" s="5" t="s">
        <v>29</v>
      </c>
      <c r="K5" s="5" t="s">
        <v>30</v>
      </c>
      <c r="L5" s="5" t="s">
        <v>31</v>
      </c>
      <c r="M5" s="6" t="s">
        <v>32</v>
      </c>
    </row>
    <row r="6" spans="2:13" ht="16.5" customHeight="1" thickBot="1">
      <c r="B6" s="17">
        <v>2</v>
      </c>
      <c r="C6" s="18">
        <f>'на выход'!E79</f>
        <v>46.940000000000005</v>
      </c>
      <c r="D6" s="18">
        <f>'на выход'!F79</f>
        <v>50.25</v>
      </c>
      <c r="E6" s="18">
        <f>'на выход'!G79</f>
        <v>190.02</v>
      </c>
      <c r="F6" s="18">
        <f>'на выход'!H79</f>
        <v>1421.15</v>
      </c>
      <c r="G6" s="18">
        <f>'на выход'!I79</f>
        <v>57.59</v>
      </c>
      <c r="I6" s="7" t="s">
        <v>33</v>
      </c>
      <c r="J6" s="8">
        <f>C15</f>
        <v>562.47</v>
      </c>
      <c r="K6" s="8">
        <f>D15</f>
        <v>539.69999999999993</v>
      </c>
      <c r="L6" s="8">
        <f>E15</f>
        <v>2000.5500000000004</v>
      </c>
      <c r="M6" s="8">
        <f>F15</f>
        <v>15270.070000000002</v>
      </c>
    </row>
    <row r="7" spans="2:13" ht="16.5" customHeight="1" thickBot="1">
      <c r="B7" s="17">
        <v>3</v>
      </c>
      <c r="C7" s="18">
        <f>'на выход'!E120</f>
        <v>52.690000000000005</v>
      </c>
      <c r="D7" s="18">
        <f>'на выход'!F120</f>
        <v>54.07</v>
      </c>
      <c r="E7" s="18">
        <f>'на выход'!G120</f>
        <v>211.51</v>
      </c>
      <c r="F7" s="18">
        <f>'на выход'!H120</f>
        <v>1557.92</v>
      </c>
      <c r="G7" s="18">
        <f>'на выход'!I120</f>
        <v>67.569999999999993</v>
      </c>
      <c r="I7" s="7" t="s">
        <v>34</v>
      </c>
      <c r="J7" s="8">
        <f>J6/10</f>
        <v>56.247</v>
      </c>
      <c r="K7" s="8">
        <f>K6/10</f>
        <v>53.969999999999992</v>
      </c>
      <c r="L7" s="8">
        <f>L6/10</f>
        <v>200.05500000000004</v>
      </c>
      <c r="M7" s="8">
        <f>M6/10</f>
        <v>1527.0070000000001</v>
      </c>
    </row>
    <row r="8" spans="2:13" ht="16.5" customHeight="1">
      <c r="B8" s="17">
        <v>4</v>
      </c>
      <c r="C8" s="18">
        <f>'на выход'!E158</f>
        <v>68.17</v>
      </c>
      <c r="D8" s="18">
        <f>'на выход'!F158</f>
        <v>54.22</v>
      </c>
      <c r="E8" s="18">
        <f>'на выход'!G158</f>
        <v>226.46</v>
      </c>
      <c r="F8" s="18">
        <f>'на выход'!H158</f>
        <v>1667.1999999999998</v>
      </c>
      <c r="G8" s="18">
        <f>'на выход'!I158</f>
        <v>33.299999999999997</v>
      </c>
    </row>
    <row r="9" spans="2:13" ht="16.5" customHeight="1">
      <c r="B9" s="17">
        <v>5</v>
      </c>
      <c r="C9" s="18">
        <f>'на выход'!E197</f>
        <v>64.61</v>
      </c>
      <c r="D9" s="18">
        <f>'на выход'!F197</f>
        <v>53.16</v>
      </c>
      <c r="E9" s="18">
        <f>'на выход'!G197</f>
        <v>191.48000000000002</v>
      </c>
      <c r="F9" s="18">
        <f>'на выход'!H197</f>
        <v>1513.6299999999999</v>
      </c>
      <c r="G9" s="18">
        <f>'на выход'!I197</f>
        <v>57.319999999999993</v>
      </c>
    </row>
    <row r="10" spans="2:13" ht="16.5" customHeight="1">
      <c r="B10" s="17">
        <v>6</v>
      </c>
      <c r="C10" s="18">
        <f>'на выход'!E238</f>
        <v>55.36</v>
      </c>
      <c r="D10" s="18">
        <f>'на выход'!F238</f>
        <v>71.149999999999991</v>
      </c>
      <c r="E10" s="18">
        <f>'на выход'!G238</f>
        <v>190.69000000000003</v>
      </c>
      <c r="F10" s="18">
        <f>'на выход'!H238</f>
        <v>1681.1800000000003</v>
      </c>
      <c r="G10" s="18">
        <f>'на выход'!I238</f>
        <v>55.620000000000012</v>
      </c>
    </row>
    <row r="11" spans="2:13" ht="16.5" customHeight="1">
      <c r="B11" s="17">
        <v>7</v>
      </c>
      <c r="C11" s="18">
        <f>'на выход'!E277</f>
        <v>46.129999999999995</v>
      </c>
      <c r="D11" s="18">
        <f>'на выход'!F277</f>
        <v>48.679999999999993</v>
      </c>
      <c r="E11" s="18">
        <f>'на выход'!G277</f>
        <v>208.49</v>
      </c>
      <c r="F11" s="18">
        <f>'на выход'!H277</f>
        <v>1432.18</v>
      </c>
      <c r="G11" s="18">
        <f>'на выход'!I277</f>
        <v>42.26</v>
      </c>
    </row>
    <row r="12" spans="2:13" ht="16.5" customHeight="1">
      <c r="B12" s="17">
        <v>8</v>
      </c>
      <c r="C12" s="18">
        <f>'на выход'!E316</f>
        <v>46.56</v>
      </c>
      <c r="D12" s="18">
        <f>'на выход'!F316</f>
        <v>42.84</v>
      </c>
      <c r="E12" s="18">
        <f>'на выход'!G316</f>
        <v>171.81</v>
      </c>
      <c r="F12" s="18">
        <f>'на выход'!H316</f>
        <v>1289.6400000000001</v>
      </c>
      <c r="G12" s="18">
        <f>'на выход'!I316</f>
        <v>39.319999999999993</v>
      </c>
    </row>
    <row r="13" spans="2:13" ht="16.5" customHeight="1">
      <c r="B13" s="17">
        <v>9</v>
      </c>
      <c r="C13" s="18">
        <f>'на выход'!E355</f>
        <v>57.16</v>
      </c>
      <c r="D13" s="18">
        <f>'на выход'!F355</f>
        <v>41.440000000000005</v>
      </c>
      <c r="E13" s="18">
        <f>'на выход'!G355</f>
        <v>196.12000000000003</v>
      </c>
      <c r="F13" s="18">
        <f>'на выход'!H355</f>
        <v>1408.44</v>
      </c>
      <c r="G13" s="18">
        <f>'на выход'!I355</f>
        <v>35.18</v>
      </c>
    </row>
    <row r="14" spans="2:13" ht="15.75">
      <c r="B14" s="17">
        <v>10</v>
      </c>
      <c r="C14" s="18">
        <f>'на выход'!E393</f>
        <v>54.02</v>
      </c>
      <c r="D14" s="18">
        <f>'на выход'!F393</f>
        <v>48.41</v>
      </c>
      <c r="E14" s="18">
        <f>'на выход'!G393</f>
        <v>203.62000000000003</v>
      </c>
      <c r="F14" s="18">
        <f>'на выход'!H393</f>
        <v>1466.52</v>
      </c>
      <c r="G14" s="18">
        <f>'на выход'!I393</f>
        <v>46.379999999999995</v>
      </c>
    </row>
    <row r="15" spans="2:13" ht="28.5">
      <c r="B15" s="148" t="s">
        <v>25</v>
      </c>
      <c r="C15" s="149">
        <f>SUM(C5:C14)</f>
        <v>562.47</v>
      </c>
      <c r="D15" s="149">
        <f t="shared" ref="D15:G15" si="0">SUM(D5:D14)</f>
        <v>539.69999999999993</v>
      </c>
      <c r="E15" s="149">
        <f t="shared" si="0"/>
        <v>2000.5500000000004</v>
      </c>
      <c r="F15" s="149">
        <f t="shared" si="0"/>
        <v>15270.070000000002</v>
      </c>
      <c r="G15" s="149">
        <f t="shared" si="0"/>
        <v>477.03</v>
      </c>
    </row>
  </sheetData>
  <mergeCells count="5">
    <mergeCell ref="B2:G2"/>
    <mergeCell ref="J3:L3"/>
    <mergeCell ref="I3:I5"/>
    <mergeCell ref="C3:E3"/>
    <mergeCell ref="F3:F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6"/>
  <sheetViews>
    <sheetView zoomScale="77" zoomScaleNormal="77" workbookViewId="0">
      <selection activeCell="R14" sqref="R14"/>
    </sheetView>
  </sheetViews>
  <sheetFormatPr defaultRowHeight="15"/>
  <cols>
    <col min="1" max="1" width="21.140625" style="62" customWidth="1"/>
    <col min="2" max="2" width="10.5703125" style="62" customWidth="1"/>
    <col min="3" max="3" width="11" style="62" customWidth="1"/>
    <col min="4" max="4" width="10.5703125" style="62" customWidth="1"/>
    <col min="5" max="5" width="10.7109375" style="62" customWidth="1"/>
    <col min="6" max="8" width="10.5703125" style="62" customWidth="1"/>
    <col min="9" max="11" width="10.7109375" style="62" customWidth="1"/>
    <col min="12" max="12" width="10.85546875" style="62" customWidth="1"/>
    <col min="13" max="13" width="10.7109375" style="62" customWidth="1"/>
    <col min="14" max="15" width="10.85546875" style="62" customWidth="1"/>
    <col min="16" max="256" width="9.140625" style="62"/>
    <col min="257" max="257" width="18.28515625" style="62" customWidth="1"/>
    <col min="258" max="512" width="9.140625" style="62"/>
    <col min="513" max="513" width="18.28515625" style="62" customWidth="1"/>
    <col min="514" max="768" width="9.140625" style="62"/>
    <col min="769" max="769" width="18.28515625" style="62" customWidth="1"/>
    <col min="770" max="1024" width="9.140625" style="62"/>
    <col min="1025" max="1025" width="18.28515625" style="62" customWidth="1"/>
    <col min="1026" max="1280" width="9.140625" style="62"/>
    <col min="1281" max="1281" width="18.28515625" style="62" customWidth="1"/>
    <col min="1282" max="1536" width="9.140625" style="62"/>
    <col min="1537" max="1537" width="18.28515625" style="62" customWidth="1"/>
    <col min="1538" max="1792" width="9.140625" style="62"/>
    <col min="1793" max="1793" width="18.28515625" style="62" customWidth="1"/>
    <col min="1794" max="2048" width="9.140625" style="62"/>
    <col min="2049" max="2049" width="18.28515625" style="62" customWidth="1"/>
    <col min="2050" max="2304" width="9.140625" style="62"/>
    <col min="2305" max="2305" width="18.28515625" style="62" customWidth="1"/>
    <col min="2306" max="2560" width="9.140625" style="62"/>
    <col min="2561" max="2561" width="18.28515625" style="62" customWidth="1"/>
    <col min="2562" max="2816" width="9.140625" style="62"/>
    <col min="2817" max="2817" width="18.28515625" style="62" customWidth="1"/>
    <col min="2818" max="3072" width="9.140625" style="62"/>
    <col min="3073" max="3073" width="18.28515625" style="62" customWidth="1"/>
    <col min="3074" max="3328" width="9.140625" style="62"/>
    <col min="3329" max="3329" width="18.28515625" style="62" customWidth="1"/>
    <col min="3330" max="3584" width="9.140625" style="62"/>
    <col min="3585" max="3585" width="18.28515625" style="62" customWidth="1"/>
    <col min="3586" max="3840" width="9.140625" style="62"/>
    <col min="3841" max="3841" width="18.28515625" style="62" customWidth="1"/>
    <col min="3842" max="4096" width="9.140625" style="62"/>
    <col min="4097" max="4097" width="18.28515625" style="62" customWidth="1"/>
    <col min="4098" max="4352" width="9.140625" style="62"/>
    <col min="4353" max="4353" width="18.28515625" style="62" customWidth="1"/>
    <col min="4354" max="4608" width="9.140625" style="62"/>
    <col min="4609" max="4609" width="18.28515625" style="62" customWidth="1"/>
    <col min="4610" max="4864" width="9.140625" style="62"/>
    <col min="4865" max="4865" width="18.28515625" style="62" customWidth="1"/>
    <col min="4866" max="5120" width="9.140625" style="62"/>
    <col min="5121" max="5121" width="18.28515625" style="62" customWidth="1"/>
    <col min="5122" max="5376" width="9.140625" style="62"/>
    <col min="5377" max="5377" width="18.28515625" style="62" customWidth="1"/>
    <col min="5378" max="5632" width="9.140625" style="62"/>
    <col min="5633" max="5633" width="18.28515625" style="62" customWidth="1"/>
    <col min="5634" max="5888" width="9.140625" style="62"/>
    <col min="5889" max="5889" width="18.28515625" style="62" customWidth="1"/>
    <col min="5890" max="6144" width="9.140625" style="62"/>
    <col min="6145" max="6145" width="18.28515625" style="62" customWidth="1"/>
    <col min="6146" max="6400" width="9.140625" style="62"/>
    <col min="6401" max="6401" width="18.28515625" style="62" customWidth="1"/>
    <col min="6402" max="6656" width="9.140625" style="62"/>
    <col min="6657" max="6657" width="18.28515625" style="62" customWidth="1"/>
    <col min="6658" max="6912" width="9.140625" style="62"/>
    <col min="6913" max="6913" width="18.28515625" style="62" customWidth="1"/>
    <col min="6914" max="7168" width="9.140625" style="62"/>
    <col min="7169" max="7169" width="18.28515625" style="62" customWidth="1"/>
    <col min="7170" max="7424" width="9.140625" style="62"/>
    <col min="7425" max="7425" width="18.28515625" style="62" customWidth="1"/>
    <col min="7426" max="7680" width="9.140625" style="62"/>
    <col min="7681" max="7681" width="18.28515625" style="62" customWidth="1"/>
    <col min="7682" max="7936" width="9.140625" style="62"/>
    <col min="7937" max="7937" width="18.28515625" style="62" customWidth="1"/>
    <col min="7938" max="8192" width="9.140625" style="62"/>
    <col min="8193" max="8193" width="18.28515625" style="62" customWidth="1"/>
    <col min="8194" max="8448" width="9.140625" style="62"/>
    <col min="8449" max="8449" width="18.28515625" style="62" customWidth="1"/>
    <col min="8450" max="8704" width="9.140625" style="62"/>
    <col min="8705" max="8705" width="18.28515625" style="62" customWidth="1"/>
    <col min="8706" max="8960" width="9.140625" style="62"/>
    <col min="8961" max="8961" width="18.28515625" style="62" customWidth="1"/>
    <col min="8962" max="9216" width="9.140625" style="62"/>
    <col min="9217" max="9217" width="18.28515625" style="62" customWidth="1"/>
    <col min="9218" max="9472" width="9.140625" style="62"/>
    <col min="9473" max="9473" width="18.28515625" style="62" customWidth="1"/>
    <col min="9474" max="9728" width="9.140625" style="62"/>
    <col min="9729" max="9729" width="18.28515625" style="62" customWidth="1"/>
    <col min="9730" max="9984" width="9.140625" style="62"/>
    <col min="9985" max="9985" width="18.28515625" style="62" customWidth="1"/>
    <col min="9986" max="10240" width="9.140625" style="62"/>
    <col min="10241" max="10241" width="18.28515625" style="62" customWidth="1"/>
    <col min="10242" max="10496" width="9.140625" style="62"/>
    <col min="10497" max="10497" width="18.28515625" style="62" customWidth="1"/>
    <col min="10498" max="10752" width="9.140625" style="62"/>
    <col min="10753" max="10753" width="18.28515625" style="62" customWidth="1"/>
    <col min="10754" max="11008" width="9.140625" style="62"/>
    <col min="11009" max="11009" width="18.28515625" style="62" customWidth="1"/>
    <col min="11010" max="11264" width="9.140625" style="62"/>
    <col min="11265" max="11265" width="18.28515625" style="62" customWidth="1"/>
    <col min="11266" max="11520" width="9.140625" style="62"/>
    <col min="11521" max="11521" width="18.28515625" style="62" customWidth="1"/>
    <col min="11522" max="11776" width="9.140625" style="62"/>
    <col min="11777" max="11777" width="18.28515625" style="62" customWidth="1"/>
    <col min="11778" max="12032" width="9.140625" style="62"/>
    <col min="12033" max="12033" width="18.28515625" style="62" customWidth="1"/>
    <col min="12034" max="12288" width="9.140625" style="62"/>
    <col min="12289" max="12289" width="18.28515625" style="62" customWidth="1"/>
    <col min="12290" max="12544" width="9.140625" style="62"/>
    <col min="12545" max="12545" width="18.28515625" style="62" customWidth="1"/>
    <col min="12546" max="12800" width="9.140625" style="62"/>
    <col min="12801" max="12801" width="18.28515625" style="62" customWidth="1"/>
    <col min="12802" max="13056" width="9.140625" style="62"/>
    <col min="13057" max="13057" width="18.28515625" style="62" customWidth="1"/>
    <col min="13058" max="13312" width="9.140625" style="62"/>
    <col min="13313" max="13313" width="18.28515625" style="62" customWidth="1"/>
    <col min="13314" max="13568" width="9.140625" style="62"/>
    <col min="13569" max="13569" width="18.28515625" style="62" customWidth="1"/>
    <col min="13570" max="13824" width="9.140625" style="62"/>
    <col min="13825" max="13825" width="18.28515625" style="62" customWidth="1"/>
    <col min="13826" max="14080" width="9.140625" style="62"/>
    <col min="14081" max="14081" width="18.28515625" style="62" customWidth="1"/>
    <col min="14082" max="14336" width="9.140625" style="62"/>
    <col min="14337" max="14337" width="18.28515625" style="62" customWidth="1"/>
    <col min="14338" max="14592" width="9.140625" style="62"/>
    <col min="14593" max="14593" width="18.28515625" style="62" customWidth="1"/>
    <col min="14594" max="14848" width="9.140625" style="62"/>
    <col min="14849" max="14849" width="18.28515625" style="62" customWidth="1"/>
    <col min="14850" max="15104" width="9.140625" style="62"/>
    <col min="15105" max="15105" width="18.28515625" style="62" customWidth="1"/>
    <col min="15106" max="15360" width="9.140625" style="62"/>
    <col min="15361" max="15361" width="18.28515625" style="62" customWidth="1"/>
    <col min="15362" max="15616" width="9.140625" style="62"/>
    <col min="15617" max="15617" width="18.28515625" style="62" customWidth="1"/>
    <col min="15618" max="15872" width="9.140625" style="62"/>
    <col min="15873" max="15873" width="18.28515625" style="62" customWidth="1"/>
    <col min="15874" max="16128" width="9.140625" style="62"/>
    <col min="16129" max="16129" width="18.28515625" style="62" customWidth="1"/>
    <col min="16130" max="16384" width="9.140625" style="62"/>
  </cols>
  <sheetData>
    <row r="1" spans="1:15" ht="15.75">
      <c r="A1" s="204" t="s">
        <v>165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</row>
    <row r="2" spans="1:15" ht="15.75">
      <c r="A2" s="205" t="s">
        <v>166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15" ht="15.75">
      <c r="A3" s="129"/>
      <c r="B3" s="130"/>
      <c r="C3" s="129"/>
      <c r="D3" s="129"/>
      <c r="E3" s="129"/>
      <c r="F3" s="129"/>
      <c r="G3" s="129"/>
      <c r="H3" s="129"/>
      <c r="I3" s="129"/>
      <c r="J3" s="150"/>
      <c r="K3" s="150"/>
      <c r="L3" s="150"/>
      <c r="M3" s="150"/>
      <c r="N3" s="150"/>
      <c r="O3" s="150"/>
    </row>
    <row r="4" spans="1:15" ht="12.75" customHeight="1">
      <c r="A4" s="206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</row>
    <row r="5" spans="1:15" ht="15.75">
      <c r="A5" s="209" t="s">
        <v>37</v>
      </c>
      <c r="B5" s="211" t="s">
        <v>167</v>
      </c>
      <c r="C5" s="213" t="s">
        <v>168</v>
      </c>
      <c r="D5" s="214"/>
      <c r="E5" s="214"/>
      <c r="F5" s="214"/>
      <c r="G5" s="214"/>
      <c r="H5" s="214"/>
      <c r="I5" s="214"/>
      <c r="J5" s="214"/>
      <c r="K5" s="214"/>
      <c r="L5" s="214"/>
      <c r="M5" s="207" t="s">
        <v>25</v>
      </c>
      <c r="N5" s="207" t="s">
        <v>169</v>
      </c>
      <c r="O5" s="207" t="s">
        <v>142</v>
      </c>
    </row>
    <row r="6" spans="1:15" ht="21.75" customHeight="1">
      <c r="A6" s="210"/>
      <c r="B6" s="212"/>
      <c r="C6" s="151">
        <v>1</v>
      </c>
      <c r="D6" s="151">
        <v>2</v>
      </c>
      <c r="E6" s="151">
        <v>3</v>
      </c>
      <c r="F6" s="151">
        <v>4</v>
      </c>
      <c r="G6" s="151">
        <v>5</v>
      </c>
      <c r="H6" s="151">
        <v>6</v>
      </c>
      <c r="I6" s="151">
        <v>7</v>
      </c>
      <c r="J6" s="151">
        <v>8</v>
      </c>
      <c r="K6" s="151">
        <v>9</v>
      </c>
      <c r="L6" s="151">
        <v>10</v>
      </c>
      <c r="M6" s="208"/>
      <c r="N6" s="208"/>
      <c r="O6" s="208"/>
    </row>
    <row r="7" spans="1:15" ht="26.25" customHeight="1">
      <c r="A7" s="152" t="s">
        <v>295</v>
      </c>
      <c r="B7" s="153">
        <v>390</v>
      </c>
      <c r="C7" s="151">
        <v>473</v>
      </c>
      <c r="D7" s="151">
        <v>378</v>
      </c>
      <c r="E7" s="151">
        <v>296</v>
      </c>
      <c r="F7" s="151">
        <v>465</v>
      </c>
      <c r="G7" s="151">
        <v>352</v>
      </c>
      <c r="H7" s="151">
        <v>438</v>
      </c>
      <c r="I7" s="151">
        <v>380</v>
      </c>
      <c r="J7" s="151">
        <v>309</v>
      </c>
      <c r="K7" s="151">
        <v>444</v>
      </c>
      <c r="L7" s="151">
        <v>368</v>
      </c>
      <c r="M7" s="151">
        <f>ROUND(SUM(C7:L7),2)</f>
        <v>3903</v>
      </c>
      <c r="N7" s="154">
        <f>ROUND(M7/10,2)</f>
        <v>390.3</v>
      </c>
      <c r="O7" s="154">
        <f>ROUND(N7/B7*100-100,2)</f>
        <v>0.08</v>
      </c>
    </row>
    <row r="8" spans="1:15" ht="18" customHeight="1">
      <c r="A8" s="155" t="s">
        <v>170</v>
      </c>
      <c r="B8" s="153">
        <v>30</v>
      </c>
      <c r="C8" s="151">
        <v>100</v>
      </c>
      <c r="D8" s="151"/>
      <c r="E8" s="151"/>
      <c r="F8" s="151">
        <v>104</v>
      </c>
      <c r="G8" s="151">
        <v>19</v>
      </c>
      <c r="H8" s="151"/>
      <c r="I8" s="151"/>
      <c r="J8" s="151"/>
      <c r="K8" s="151"/>
      <c r="L8" s="151">
        <v>75.400000000000006</v>
      </c>
      <c r="M8" s="151">
        <f t="shared" ref="M8:M34" si="0">ROUND(SUM(C8:L8),2)</f>
        <v>298.39999999999998</v>
      </c>
      <c r="N8" s="154">
        <f t="shared" ref="N8:N34" si="1">ROUND(M8/10,2)</f>
        <v>29.84</v>
      </c>
      <c r="O8" s="154">
        <f t="shared" ref="O8:O34" si="2">ROUND(N8/B8*100-100,2)</f>
        <v>-0.53</v>
      </c>
    </row>
    <row r="9" spans="1:15" ht="18" customHeight="1">
      <c r="A9" s="155" t="s">
        <v>72</v>
      </c>
      <c r="B9" s="153">
        <v>9</v>
      </c>
      <c r="C9" s="151">
        <v>7</v>
      </c>
      <c r="D9" s="151">
        <v>3.75</v>
      </c>
      <c r="E9" s="151">
        <v>15</v>
      </c>
      <c r="F9" s="151">
        <v>7.5</v>
      </c>
      <c r="G9" s="156">
        <v>4.4000000000000004</v>
      </c>
      <c r="H9" s="151">
        <v>16.5</v>
      </c>
      <c r="I9" s="151">
        <v>15</v>
      </c>
      <c r="J9" s="156">
        <v>16.5</v>
      </c>
      <c r="K9" s="151"/>
      <c r="L9" s="151">
        <v>7</v>
      </c>
      <c r="M9" s="151">
        <f t="shared" si="0"/>
        <v>92.65</v>
      </c>
      <c r="N9" s="154">
        <f t="shared" si="1"/>
        <v>9.27</v>
      </c>
      <c r="O9" s="154">
        <f t="shared" si="2"/>
        <v>3</v>
      </c>
    </row>
    <row r="10" spans="1:15" ht="18" customHeight="1">
      <c r="A10" s="155" t="s">
        <v>42</v>
      </c>
      <c r="B10" s="153">
        <v>4</v>
      </c>
      <c r="C10" s="151">
        <v>6</v>
      </c>
      <c r="D10" s="151">
        <v>7</v>
      </c>
      <c r="E10" s="151">
        <v>3</v>
      </c>
      <c r="F10" s="156">
        <v>7</v>
      </c>
      <c r="G10" s="151">
        <v>10.6</v>
      </c>
      <c r="H10" s="151"/>
      <c r="I10" s="151"/>
      <c r="J10" s="151">
        <v>7</v>
      </c>
      <c r="K10" s="151"/>
      <c r="L10" s="151"/>
      <c r="M10" s="151">
        <f t="shared" si="0"/>
        <v>40.6</v>
      </c>
      <c r="N10" s="154">
        <f t="shared" si="1"/>
        <v>4.0599999999999996</v>
      </c>
      <c r="O10" s="154">
        <f t="shared" si="2"/>
        <v>1.5</v>
      </c>
    </row>
    <row r="11" spans="1:15" ht="18" customHeight="1">
      <c r="A11" s="155" t="s">
        <v>171</v>
      </c>
      <c r="B11" s="153">
        <v>50</v>
      </c>
      <c r="C11" s="151">
        <v>44</v>
      </c>
      <c r="D11" s="151">
        <v>71</v>
      </c>
      <c r="E11" s="151">
        <v>21</v>
      </c>
      <c r="F11" s="151"/>
      <c r="G11" s="151">
        <v>97</v>
      </c>
      <c r="H11" s="151">
        <v>38</v>
      </c>
      <c r="I11" s="151">
        <v>40</v>
      </c>
      <c r="J11" s="151"/>
      <c r="K11" s="151">
        <v>44</v>
      </c>
      <c r="L11" s="151"/>
      <c r="M11" s="151">
        <f t="shared" si="0"/>
        <v>355</v>
      </c>
      <c r="N11" s="154">
        <f t="shared" si="1"/>
        <v>35.5</v>
      </c>
      <c r="O11" s="154">
        <f t="shared" si="2"/>
        <v>-29</v>
      </c>
    </row>
    <row r="12" spans="1:15" ht="18" customHeight="1">
      <c r="A12" s="155" t="s">
        <v>172</v>
      </c>
      <c r="B12" s="153">
        <v>20</v>
      </c>
      <c r="C12" s="151">
        <v>34</v>
      </c>
      <c r="D12" s="151"/>
      <c r="E12" s="151">
        <v>32</v>
      </c>
      <c r="F12" s="151">
        <v>158</v>
      </c>
      <c r="G12" s="151"/>
      <c r="H12" s="151"/>
      <c r="I12" s="151"/>
      <c r="J12" s="151">
        <v>113</v>
      </c>
      <c r="K12" s="151"/>
      <c r="L12" s="151">
        <v>44</v>
      </c>
      <c r="M12" s="151">
        <f t="shared" si="0"/>
        <v>381</v>
      </c>
      <c r="N12" s="154">
        <f t="shared" si="1"/>
        <v>38.1</v>
      </c>
      <c r="O12" s="154">
        <f t="shared" si="2"/>
        <v>90.5</v>
      </c>
    </row>
    <row r="13" spans="1:15" ht="18" customHeight="1">
      <c r="A13" s="155" t="s">
        <v>173</v>
      </c>
      <c r="B13" s="153">
        <v>20</v>
      </c>
      <c r="C13" s="151"/>
      <c r="D13" s="151">
        <v>74</v>
      </c>
      <c r="E13" s="151"/>
      <c r="F13" s="151"/>
      <c r="G13" s="151"/>
      <c r="H13" s="151"/>
      <c r="I13" s="151">
        <v>46</v>
      </c>
      <c r="J13" s="151"/>
      <c r="K13" s="151"/>
      <c r="L13" s="151"/>
      <c r="M13" s="151">
        <f t="shared" si="0"/>
        <v>120</v>
      </c>
      <c r="N13" s="154">
        <f t="shared" si="1"/>
        <v>12</v>
      </c>
      <c r="O13" s="154">
        <f t="shared" si="2"/>
        <v>-40</v>
      </c>
    </row>
    <row r="14" spans="1:15" ht="18" customHeight="1">
      <c r="A14" s="155" t="s">
        <v>174</v>
      </c>
      <c r="B14" s="153">
        <v>32</v>
      </c>
      <c r="C14" s="151">
        <v>45</v>
      </c>
      <c r="D14" s="151"/>
      <c r="E14" s="151">
        <v>53</v>
      </c>
      <c r="F14" s="151"/>
      <c r="G14" s="151">
        <v>60</v>
      </c>
      <c r="H14" s="151">
        <v>38</v>
      </c>
      <c r="I14" s="151"/>
      <c r="J14" s="151"/>
      <c r="K14" s="151">
        <v>83</v>
      </c>
      <c r="L14" s="151">
        <v>33</v>
      </c>
      <c r="M14" s="151">
        <f t="shared" si="0"/>
        <v>312</v>
      </c>
      <c r="N14" s="154">
        <f t="shared" si="1"/>
        <v>31.2</v>
      </c>
      <c r="O14" s="154">
        <f t="shared" si="2"/>
        <v>-2.5</v>
      </c>
    </row>
    <row r="15" spans="1:15" ht="18" customHeight="1">
      <c r="A15" s="157" t="s">
        <v>175</v>
      </c>
      <c r="B15" s="158">
        <v>40</v>
      </c>
      <c r="C15" s="159">
        <v>64</v>
      </c>
      <c r="D15" s="159">
        <v>8</v>
      </c>
      <c r="E15" s="159">
        <v>57</v>
      </c>
      <c r="F15" s="159">
        <v>14</v>
      </c>
      <c r="G15" s="159">
        <v>48</v>
      </c>
      <c r="H15" s="159">
        <v>62</v>
      </c>
      <c r="I15" s="159">
        <v>16</v>
      </c>
      <c r="J15" s="159">
        <v>61</v>
      </c>
      <c r="K15" s="159">
        <v>3</v>
      </c>
      <c r="L15" s="159">
        <v>47</v>
      </c>
      <c r="M15" s="151">
        <f t="shared" si="0"/>
        <v>380</v>
      </c>
      <c r="N15" s="154">
        <f t="shared" si="1"/>
        <v>38</v>
      </c>
      <c r="O15" s="154">
        <f t="shared" si="2"/>
        <v>-5</v>
      </c>
    </row>
    <row r="16" spans="1:15" ht="18" customHeight="1">
      <c r="A16" s="155" t="s">
        <v>41</v>
      </c>
      <c r="B16" s="153">
        <v>120</v>
      </c>
      <c r="C16" s="151">
        <v>125</v>
      </c>
      <c r="D16" s="151">
        <v>186</v>
      </c>
      <c r="E16" s="151">
        <v>139</v>
      </c>
      <c r="F16" s="151">
        <v>80</v>
      </c>
      <c r="G16" s="151">
        <v>129</v>
      </c>
      <c r="H16" s="151">
        <v>55</v>
      </c>
      <c r="I16" s="151">
        <v>151</v>
      </c>
      <c r="J16" s="151">
        <v>98</v>
      </c>
      <c r="K16" s="151">
        <v>122</v>
      </c>
      <c r="L16" s="151">
        <v>80</v>
      </c>
      <c r="M16" s="151">
        <f t="shared" si="0"/>
        <v>1165</v>
      </c>
      <c r="N16" s="154">
        <f t="shared" si="1"/>
        <v>116.5</v>
      </c>
      <c r="O16" s="154">
        <f t="shared" si="2"/>
        <v>-2.92</v>
      </c>
    </row>
    <row r="17" spans="1:15" ht="18" customHeight="1">
      <c r="A17" s="155" t="s">
        <v>176</v>
      </c>
      <c r="B17" s="153">
        <v>180</v>
      </c>
      <c r="C17" s="151">
        <v>169</v>
      </c>
      <c r="D17" s="151">
        <v>184</v>
      </c>
      <c r="E17" s="151">
        <v>217</v>
      </c>
      <c r="F17" s="151">
        <v>76</v>
      </c>
      <c r="G17" s="151">
        <v>302</v>
      </c>
      <c r="H17" s="151">
        <v>132</v>
      </c>
      <c r="I17" s="151">
        <v>93</v>
      </c>
      <c r="J17" s="151">
        <v>187.4</v>
      </c>
      <c r="K17" s="151">
        <v>119</v>
      </c>
      <c r="L17" s="151">
        <v>268</v>
      </c>
      <c r="M17" s="151">
        <f t="shared" si="0"/>
        <v>1747.4</v>
      </c>
      <c r="N17" s="154">
        <f t="shared" si="1"/>
        <v>174.74</v>
      </c>
      <c r="O17" s="154">
        <f t="shared" si="2"/>
        <v>-2.92</v>
      </c>
    </row>
    <row r="18" spans="1:15" ht="18" customHeight="1">
      <c r="A18" s="155" t="s">
        <v>177</v>
      </c>
      <c r="B18" s="153">
        <v>95</v>
      </c>
      <c r="C18" s="151">
        <v>37</v>
      </c>
      <c r="D18" s="151">
        <v>100</v>
      </c>
      <c r="E18" s="151">
        <v>137</v>
      </c>
      <c r="F18" s="151">
        <v>195</v>
      </c>
      <c r="G18" s="151">
        <v>37</v>
      </c>
      <c r="H18" s="151">
        <v>137</v>
      </c>
      <c r="I18" s="156">
        <v>201</v>
      </c>
      <c r="J18" s="151">
        <v>17</v>
      </c>
      <c r="K18" s="151">
        <v>137</v>
      </c>
      <c r="L18" s="151"/>
      <c r="M18" s="151">
        <f t="shared" si="0"/>
        <v>998</v>
      </c>
      <c r="N18" s="154">
        <f t="shared" si="1"/>
        <v>99.8</v>
      </c>
      <c r="O18" s="154">
        <f t="shared" si="2"/>
        <v>5.05</v>
      </c>
    </row>
    <row r="19" spans="1:15" ht="18" customHeight="1">
      <c r="A19" s="155" t="s">
        <v>178</v>
      </c>
      <c r="B19" s="153">
        <v>9</v>
      </c>
      <c r="C19" s="151">
        <v>18</v>
      </c>
      <c r="D19" s="151"/>
      <c r="E19" s="151">
        <v>18</v>
      </c>
      <c r="F19" s="151">
        <v>18</v>
      </c>
      <c r="G19" s="151"/>
      <c r="H19" s="151"/>
      <c r="I19" s="151">
        <v>18</v>
      </c>
      <c r="J19" s="150"/>
      <c r="K19" s="151"/>
      <c r="L19" s="151">
        <v>18</v>
      </c>
      <c r="M19" s="151">
        <f t="shared" si="0"/>
        <v>90</v>
      </c>
      <c r="N19" s="154">
        <f t="shared" si="1"/>
        <v>9</v>
      </c>
      <c r="O19" s="154">
        <f t="shared" si="2"/>
        <v>0</v>
      </c>
    </row>
    <row r="20" spans="1:15" ht="18" customHeight="1">
      <c r="A20" s="155" t="s">
        <v>179</v>
      </c>
      <c r="B20" s="153">
        <v>100</v>
      </c>
      <c r="C20" s="151">
        <v>150</v>
      </c>
      <c r="D20" s="151"/>
      <c r="E20" s="151">
        <v>150</v>
      </c>
      <c r="F20" s="151"/>
      <c r="G20" s="151">
        <v>150</v>
      </c>
      <c r="H20" s="151">
        <v>200</v>
      </c>
      <c r="I20" s="150"/>
      <c r="J20" s="151">
        <v>150</v>
      </c>
      <c r="K20" s="156"/>
      <c r="L20" s="151">
        <v>150</v>
      </c>
      <c r="M20" s="151">
        <f t="shared" si="0"/>
        <v>950</v>
      </c>
      <c r="N20" s="154">
        <f t="shared" si="1"/>
        <v>95</v>
      </c>
      <c r="O20" s="154">
        <f t="shared" si="2"/>
        <v>-5</v>
      </c>
    </row>
    <row r="21" spans="1:15" ht="18" customHeight="1">
      <c r="A21" s="155" t="s">
        <v>180</v>
      </c>
      <c r="B21" s="153">
        <v>40</v>
      </c>
      <c r="C21" s="151">
        <v>40</v>
      </c>
      <c r="D21" s="151">
        <v>40</v>
      </c>
      <c r="E21" s="151">
        <v>40</v>
      </c>
      <c r="F21" s="151">
        <v>40</v>
      </c>
      <c r="G21" s="151">
        <v>40</v>
      </c>
      <c r="H21" s="151">
        <v>40</v>
      </c>
      <c r="I21" s="151">
        <v>40</v>
      </c>
      <c r="J21" s="151">
        <v>40</v>
      </c>
      <c r="K21" s="151">
        <v>40</v>
      </c>
      <c r="L21" s="151">
        <v>40</v>
      </c>
      <c r="M21" s="151">
        <f t="shared" si="0"/>
        <v>400</v>
      </c>
      <c r="N21" s="154">
        <f t="shared" si="1"/>
        <v>40</v>
      </c>
      <c r="O21" s="154">
        <f t="shared" si="2"/>
        <v>0</v>
      </c>
    </row>
    <row r="22" spans="1:15" ht="18" customHeight="1">
      <c r="A22" s="155" t="s">
        <v>181</v>
      </c>
      <c r="B22" s="153">
        <v>60</v>
      </c>
      <c r="C22" s="151">
        <v>68</v>
      </c>
      <c r="D22" s="151">
        <v>55</v>
      </c>
      <c r="E22" s="151">
        <v>58</v>
      </c>
      <c r="F22" s="151">
        <v>60</v>
      </c>
      <c r="G22" s="151">
        <v>60</v>
      </c>
      <c r="H22" s="151">
        <v>55</v>
      </c>
      <c r="I22" s="151">
        <v>60</v>
      </c>
      <c r="J22" s="151">
        <v>61</v>
      </c>
      <c r="K22" s="151">
        <v>61</v>
      </c>
      <c r="L22" s="151">
        <v>66</v>
      </c>
      <c r="M22" s="151">
        <f t="shared" si="0"/>
        <v>604</v>
      </c>
      <c r="N22" s="154">
        <f t="shared" si="1"/>
        <v>60.4</v>
      </c>
      <c r="O22" s="154">
        <f t="shared" si="2"/>
        <v>0.67</v>
      </c>
    </row>
    <row r="23" spans="1:15" ht="18" customHeight="1">
      <c r="A23" s="155" t="s">
        <v>39</v>
      </c>
      <c r="B23" s="153">
        <v>30</v>
      </c>
      <c r="C23" s="151">
        <v>30</v>
      </c>
      <c r="D23" s="151">
        <v>23</v>
      </c>
      <c r="E23" s="151">
        <v>15</v>
      </c>
      <c r="F23" s="151">
        <v>54</v>
      </c>
      <c r="G23" s="151">
        <v>16</v>
      </c>
      <c r="H23" s="151">
        <v>38</v>
      </c>
      <c r="I23" s="151">
        <v>61</v>
      </c>
      <c r="J23" s="151">
        <v>26</v>
      </c>
      <c r="K23" s="151">
        <v>22</v>
      </c>
      <c r="L23" s="151">
        <v>15</v>
      </c>
      <c r="M23" s="151">
        <f t="shared" si="0"/>
        <v>300</v>
      </c>
      <c r="N23" s="154">
        <f t="shared" si="1"/>
        <v>30</v>
      </c>
      <c r="O23" s="154">
        <f t="shared" si="2"/>
        <v>0</v>
      </c>
    </row>
    <row r="24" spans="1:15" ht="18" customHeight="1">
      <c r="A24" s="155" t="s">
        <v>40</v>
      </c>
      <c r="B24" s="153">
        <v>8</v>
      </c>
      <c r="C24" s="151">
        <v>35</v>
      </c>
      <c r="D24" s="151"/>
      <c r="E24" s="151"/>
      <c r="F24" s="151"/>
      <c r="G24" s="151"/>
      <c r="H24" s="151">
        <v>12</v>
      </c>
      <c r="I24" s="151"/>
      <c r="J24" s="151"/>
      <c r="K24" s="151">
        <v>35</v>
      </c>
      <c r="L24" s="151"/>
      <c r="M24" s="151">
        <f t="shared" si="0"/>
        <v>82</v>
      </c>
      <c r="N24" s="154">
        <f t="shared" si="1"/>
        <v>8.1999999999999993</v>
      </c>
      <c r="O24" s="154">
        <f t="shared" si="2"/>
        <v>2.5</v>
      </c>
    </row>
    <row r="25" spans="1:15" ht="18" customHeight="1">
      <c r="A25" s="155" t="s">
        <v>38</v>
      </c>
      <c r="B25" s="153">
        <v>25</v>
      </c>
      <c r="C25" s="151">
        <v>16.7</v>
      </c>
      <c r="D25" s="151">
        <v>1.1000000000000001</v>
      </c>
      <c r="E25" s="151">
        <v>33.9</v>
      </c>
      <c r="F25" s="151">
        <v>24.5</v>
      </c>
      <c r="G25" s="151">
        <v>29.6</v>
      </c>
      <c r="H25" s="151">
        <v>41.9</v>
      </c>
      <c r="I25" s="151">
        <v>15.5</v>
      </c>
      <c r="J25" s="151">
        <v>28.3</v>
      </c>
      <c r="K25" s="151">
        <v>40</v>
      </c>
      <c r="L25" s="151">
        <v>11.7</v>
      </c>
      <c r="M25" s="151">
        <f t="shared" si="0"/>
        <v>243.2</v>
      </c>
      <c r="N25" s="154">
        <f t="shared" si="1"/>
        <v>24.32</v>
      </c>
      <c r="O25" s="154">
        <f t="shared" si="2"/>
        <v>-2.72</v>
      </c>
    </row>
    <row r="26" spans="1:15" ht="18" customHeight="1">
      <c r="A26" s="155" t="s">
        <v>43</v>
      </c>
      <c r="B26" s="153">
        <v>18</v>
      </c>
      <c r="C26" s="151">
        <v>31.3</v>
      </c>
      <c r="D26" s="129">
        <v>15</v>
      </c>
      <c r="E26" s="151">
        <v>28.6</v>
      </c>
      <c r="F26" s="151">
        <v>15.5</v>
      </c>
      <c r="G26" s="151">
        <v>18</v>
      </c>
      <c r="H26" s="151">
        <v>8.5</v>
      </c>
      <c r="I26" s="151">
        <v>21.9</v>
      </c>
      <c r="J26" s="151">
        <v>16.600000000000001</v>
      </c>
      <c r="K26" s="151">
        <v>17.100000000000001</v>
      </c>
      <c r="L26" s="154">
        <v>11</v>
      </c>
      <c r="M26" s="151">
        <f t="shared" si="0"/>
        <v>183.5</v>
      </c>
      <c r="N26" s="154">
        <f t="shared" si="1"/>
        <v>18.350000000000001</v>
      </c>
      <c r="O26" s="154">
        <f t="shared" si="2"/>
        <v>1.94</v>
      </c>
    </row>
    <row r="27" spans="1:15" ht="18" customHeight="1">
      <c r="A27" s="155" t="s">
        <v>44</v>
      </c>
      <c r="B27" s="153">
        <v>9</v>
      </c>
      <c r="C27" s="156">
        <v>10.5</v>
      </c>
      <c r="D27" s="151">
        <v>4</v>
      </c>
      <c r="E27" s="151">
        <v>12</v>
      </c>
      <c r="F27" s="151">
        <v>1.8</v>
      </c>
      <c r="G27" s="151">
        <v>14</v>
      </c>
      <c r="H27" s="151">
        <v>11.5</v>
      </c>
      <c r="I27" s="151">
        <v>6</v>
      </c>
      <c r="J27" s="151">
        <v>10</v>
      </c>
      <c r="K27" s="151">
        <v>8.1</v>
      </c>
      <c r="L27" s="151">
        <v>9</v>
      </c>
      <c r="M27" s="151">
        <f t="shared" si="0"/>
        <v>86.9</v>
      </c>
      <c r="N27" s="154">
        <f t="shared" si="1"/>
        <v>8.69</v>
      </c>
      <c r="O27" s="154">
        <f t="shared" si="2"/>
        <v>-3.44</v>
      </c>
    </row>
    <row r="28" spans="1:15" ht="18" customHeight="1">
      <c r="A28" s="155" t="s">
        <v>46</v>
      </c>
      <c r="B28" s="153">
        <v>12</v>
      </c>
      <c r="C28" s="151"/>
      <c r="D28" s="151">
        <v>30</v>
      </c>
      <c r="E28" s="151"/>
      <c r="F28" s="151">
        <v>30</v>
      </c>
      <c r="G28" s="151"/>
      <c r="H28" s="151"/>
      <c r="I28" s="151">
        <v>30</v>
      </c>
      <c r="J28" s="151"/>
      <c r="K28" s="151"/>
      <c r="L28" s="151">
        <v>30</v>
      </c>
      <c r="M28" s="151">
        <f t="shared" si="0"/>
        <v>120</v>
      </c>
      <c r="N28" s="154">
        <f t="shared" si="1"/>
        <v>12</v>
      </c>
      <c r="O28" s="154">
        <f t="shared" si="2"/>
        <v>0</v>
      </c>
    </row>
    <row r="29" spans="1:15" ht="18" customHeight="1">
      <c r="A29" s="155" t="s">
        <v>47</v>
      </c>
      <c r="B29" s="153">
        <v>0.5</v>
      </c>
      <c r="C29" s="151"/>
      <c r="D29" s="151">
        <v>0.7</v>
      </c>
      <c r="E29" s="151">
        <v>0.5</v>
      </c>
      <c r="F29" s="151">
        <v>0.2</v>
      </c>
      <c r="G29" s="151">
        <v>0.5</v>
      </c>
      <c r="H29" s="151">
        <v>0.2</v>
      </c>
      <c r="I29" s="151">
        <v>0.5</v>
      </c>
      <c r="J29" s="151">
        <v>0.7</v>
      </c>
      <c r="K29" s="151">
        <v>0.7</v>
      </c>
      <c r="L29" s="151">
        <v>0.5</v>
      </c>
      <c r="M29" s="151">
        <f t="shared" si="0"/>
        <v>4.5</v>
      </c>
      <c r="N29" s="154">
        <f t="shared" si="1"/>
        <v>0.45</v>
      </c>
      <c r="O29" s="154">
        <f t="shared" si="2"/>
        <v>-10</v>
      </c>
    </row>
    <row r="30" spans="1:15" ht="18" customHeight="1">
      <c r="A30" s="155" t="s">
        <v>74</v>
      </c>
      <c r="B30" s="153">
        <v>0.5</v>
      </c>
      <c r="C30" s="151"/>
      <c r="D30" s="151"/>
      <c r="E30" s="151">
        <v>2.4</v>
      </c>
      <c r="F30" s="151"/>
      <c r="G30" s="151"/>
      <c r="H30" s="151"/>
      <c r="I30" s="151">
        <v>2.4</v>
      </c>
      <c r="J30" s="156"/>
      <c r="K30" s="151"/>
      <c r="L30" s="151"/>
      <c r="M30" s="151">
        <f t="shared" si="0"/>
        <v>4.8</v>
      </c>
      <c r="N30" s="154">
        <f t="shared" si="1"/>
        <v>0.48</v>
      </c>
      <c r="O30" s="154">
        <f t="shared" si="2"/>
        <v>-4</v>
      </c>
    </row>
    <row r="31" spans="1:15" ht="18" customHeight="1">
      <c r="A31" s="152" t="s">
        <v>284</v>
      </c>
      <c r="B31" s="160">
        <v>1</v>
      </c>
      <c r="C31" s="161">
        <v>2.5</v>
      </c>
      <c r="D31" s="161"/>
      <c r="E31" s="161"/>
      <c r="F31" s="156">
        <v>2.5</v>
      </c>
      <c r="G31" s="161"/>
      <c r="H31" s="162"/>
      <c r="I31" s="161"/>
      <c r="J31" s="161">
        <v>2.5</v>
      </c>
      <c r="K31" s="161"/>
      <c r="L31" s="161"/>
      <c r="M31" s="151">
        <f t="shared" si="0"/>
        <v>7.5</v>
      </c>
      <c r="N31" s="154">
        <f t="shared" si="1"/>
        <v>0.75</v>
      </c>
      <c r="O31" s="154">
        <f t="shared" si="2"/>
        <v>-25</v>
      </c>
    </row>
    <row r="32" spans="1:15" ht="18" customHeight="1">
      <c r="A32" s="155" t="s">
        <v>45</v>
      </c>
      <c r="B32" s="163">
        <v>25</v>
      </c>
      <c r="C32" s="164">
        <v>34</v>
      </c>
      <c r="D32" s="164">
        <v>24</v>
      </c>
      <c r="E32" s="164">
        <v>32</v>
      </c>
      <c r="F32" s="164">
        <v>28</v>
      </c>
      <c r="G32" s="164">
        <v>25</v>
      </c>
      <c r="H32" s="164">
        <v>18</v>
      </c>
      <c r="I32" s="164">
        <v>28</v>
      </c>
      <c r="J32" s="164">
        <v>23</v>
      </c>
      <c r="K32" s="164">
        <v>21</v>
      </c>
      <c r="L32" s="164">
        <v>28</v>
      </c>
      <c r="M32" s="151">
        <f t="shared" si="0"/>
        <v>261</v>
      </c>
      <c r="N32" s="154">
        <f t="shared" si="1"/>
        <v>26.1</v>
      </c>
      <c r="O32" s="154">
        <f t="shared" si="2"/>
        <v>4.4000000000000004</v>
      </c>
    </row>
    <row r="33" spans="1:15" ht="18" customHeight="1">
      <c r="A33" s="155" t="s">
        <v>182</v>
      </c>
      <c r="B33" s="153">
        <v>0.4</v>
      </c>
      <c r="C33" s="151"/>
      <c r="D33" s="151"/>
      <c r="E33" s="151">
        <v>0.23</v>
      </c>
      <c r="F33" s="151"/>
      <c r="G33" s="151">
        <v>0.23</v>
      </c>
      <c r="H33" s="151">
        <v>0.23</v>
      </c>
      <c r="I33" s="151"/>
      <c r="J33" s="151">
        <v>0.23</v>
      </c>
      <c r="K33" s="151">
        <v>0.25</v>
      </c>
      <c r="L33" s="151"/>
      <c r="M33" s="151">
        <f t="shared" si="0"/>
        <v>1.17</v>
      </c>
      <c r="N33" s="154">
        <f t="shared" si="1"/>
        <v>0.12</v>
      </c>
      <c r="O33" s="154">
        <f t="shared" si="2"/>
        <v>-70</v>
      </c>
    </row>
    <row r="34" spans="1:15" ht="18" customHeight="1">
      <c r="A34" s="155" t="s">
        <v>73</v>
      </c>
      <c r="B34" s="153">
        <v>2</v>
      </c>
      <c r="C34" s="151"/>
      <c r="D34" s="151">
        <v>5</v>
      </c>
      <c r="E34" s="151"/>
      <c r="F34" s="151"/>
      <c r="G34" s="151">
        <v>5</v>
      </c>
      <c r="H34" s="151"/>
      <c r="I34" s="151"/>
      <c r="J34" s="151">
        <v>5</v>
      </c>
      <c r="K34" s="151"/>
      <c r="L34" s="151">
        <v>5</v>
      </c>
      <c r="M34" s="151">
        <f t="shared" si="0"/>
        <v>20</v>
      </c>
      <c r="N34" s="154">
        <f t="shared" si="1"/>
        <v>2</v>
      </c>
      <c r="O34" s="154">
        <f t="shared" si="2"/>
        <v>0</v>
      </c>
    </row>
    <row r="35" spans="1:15" ht="18" customHeight="1">
      <c r="A35" s="155" t="s">
        <v>183</v>
      </c>
      <c r="B35" s="153">
        <v>3</v>
      </c>
      <c r="C35" s="151">
        <v>3</v>
      </c>
      <c r="D35" s="151">
        <v>3</v>
      </c>
      <c r="E35" s="151">
        <v>3</v>
      </c>
      <c r="F35" s="151">
        <v>3</v>
      </c>
      <c r="G35" s="151">
        <v>3</v>
      </c>
      <c r="H35" s="151">
        <v>3</v>
      </c>
      <c r="I35" s="151">
        <v>3</v>
      </c>
      <c r="J35" s="151">
        <v>3</v>
      </c>
      <c r="K35" s="151">
        <v>3</v>
      </c>
      <c r="L35" s="151">
        <v>3</v>
      </c>
      <c r="M35" s="151">
        <f>ROUND(SUM(C35:L35),2)</f>
        <v>30</v>
      </c>
      <c r="N35" s="154">
        <f>ROUND(M35/10,2)</f>
        <v>3</v>
      </c>
      <c r="O35" s="154">
        <f>ROUND(N35/B35*100-100,2)</f>
        <v>0</v>
      </c>
    </row>
    <row r="36" spans="1:15">
      <c r="A36" s="131" t="s">
        <v>184</v>
      </c>
    </row>
  </sheetData>
  <mergeCells count="9">
    <mergeCell ref="A1:O1"/>
    <mergeCell ref="A2:O2"/>
    <mergeCell ref="A4:O4"/>
    <mergeCell ref="O5:O6"/>
    <mergeCell ref="A5:A6"/>
    <mergeCell ref="B5:B6"/>
    <mergeCell ref="C5:L5"/>
    <mergeCell ref="M5:M6"/>
    <mergeCell ref="N5:N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G16"/>
  <sheetViews>
    <sheetView workbookViewId="0">
      <selection activeCell="F18" sqref="F18"/>
    </sheetView>
  </sheetViews>
  <sheetFormatPr defaultColWidth="9.140625" defaultRowHeight="15"/>
  <cols>
    <col min="1" max="1" width="9.140625" style="62"/>
    <col min="2" max="2" width="48.85546875" style="62" customWidth="1"/>
    <col min="3" max="3" width="12.7109375" style="62" customWidth="1"/>
    <col min="4" max="4" width="13.28515625" style="62" customWidth="1"/>
    <col min="5" max="5" width="12.5703125" style="62" customWidth="1"/>
    <col min="6" max="7" width="14" style="62" customWidth="1"/>
    <col min="8" max="16384" width="9.140625" style="62"/>
  </cols>
  <sheetData>
    <row r="2" spans="2:7">
      <c r="B2" s="215" t="s">
        <v>75</v>
      </c>
      <c r="C2" s="215"/>
      <c r="D2" s="215"/>
      <c r="E2" s="215"/>
      <c r="F2" s="215"/>
      <c r="G2" s="215"/>
    </row>
    <row r="3" spans="2:7">
      <c r="B3" s="216"/>
      <c r="C3" s="216"/>
      <c r="D3" s="216"/>
      <c r="E3" s="216"/>
      <c r="F3" s="216"/>
      <c r="G3" s="216"/>
    </row>
    <row r="4" spans="2:7" ht="37.5">
      <c r="B4" s="76" t="s">
        <v>76</v>
      </c>
      <c r="C4" s="76" t="s">
        <v>9</v>
      </c>
      <c r="D4" s="76" t="s">
        <v>77</v>
      </c>
      <c r="E4" s="76" t="s">
        <v>11</v>
      </c>
      <c r="F4" s="76" t="s">
        <v>81</v>
      </c>
      <c r="G4" s="88" t="s">
        <v>80</v>
      </c>
    </row>
    <row r="5" spans="2:7" ht="18.75">
      <c r="B5" s="77">
        <v>1</v>
      </c>
      <c r="C5" s="78">
        <f>'на выход'!D14</f>
        <v>420</v>
      </c>
      <c r="D5" s="78">
        <f>'на выход'!D17</f>
        <v>150</v>
      </c>
      <c r="E5" s="78">
        <f>'на выход'!D27</f>
        <v>635</v>
      </c>
      <c r="F5" s="78">
        <f>'на выход'!D32</f>
        <v>310</v>
      </c>
      <c r="G5" s="78">
        <f>'на выход'!D40</f>
        <v>460</v>
      </c>
    </row>
    <row r="6" spans="2:7" ht="18.75">
      <c r="B6" s="77">
        <v>2</v>
      </c>
      <c r="C6" s="78">
        <f>'на выход'!D56</f>
        <v>332</v>
      </c>
      <c r="D6" s="78">
        <f>'на выход'!D59</f>
        <v>100</v>
      </c>
      <c r="E6" s="78">
        <f>'на выход'!D67</f>
        <v>560</v>
      </c>
      <c r="F6" s="78">
        <f>'на выход'!D71</f>
        <v>195</v>
      </c>
      <c r="G6" s="78">
        <f>'на выход'!D78</f>
        <v>380</v>
      </c>
    </row>
    <row r="7" spans="2:7" ht="18.75">
      <c r="B7" s="77">
        <v>3</v>
      </c>
      <c r="C7" s="78">
        <f>'на выход'!D94</f>
        <v>390</v>
      </c>
      <c r="D7" s="78">
        <f>'на выход'!D97</f>
        <v>150</v>
      </c>
      <c r="E7" s="78">
        <f>'на выход'!D106</f>
        <v>609</v>
      </c>
      <c r="F7" s="78">
        <f>'на выход'!D110</f>
        <v>205</v>
      </c>
      <c r="G7" s="78">
        <f>'на выход'!D119</f>
        <v>530</v>
      </c>
    </row>
    <row r="8" spans="2:7" ht="18.75">
      <c r="B8" s="77">
        <v>4</v>
      </c>
      <c r="C8" s="78">
        <f>'на выход'!D135</f>
        <v>337</v>
      </c>
      <c r="D8" s="78">
        <f>'на выход'!D138</f>
        <v>100</v>
      </c>
      <c r="E8" s="78">
        <f>'на выход'!D146</f>
        <v>632</v>
      </c>
      <c r="F8" s="78">
        <f>'на выход'!D150</f>
        <v>210</v>
      </c>
      <c r="G8" s="78">
        <f>'на выход'!D157</f>
        <v>428</v>
      </c>
    </row>
    <row r="9" spans="2:7" ht="18.75">
      <c r="B9" s="77">
        <v>5</v>
      </c>
      <c r="C9" s="78">
        <f>'на выход'!D173</f>
        <v>395</v>
      </c>
      <c r="D9" s="78">
        <f>'на выход'!D176</f>
        <v>150</v>
      </c>
      <c r="E9" s="78">
        <f>'на выход'!D185</f>
        <v>595</v>
      </c>
      <c r="F9" s="78">
        <v>230</v>
      </c>
      <c r="G9" s="78">
        <f>'на выход'!D196</f>
        <v>440</v>
      </c>
    </row>
    <row r="10" spans="2:7" ht="18.75">
      <c r="B10" s="77">
        <v>6</v>
      </c>
      <c r="C10" s="78">
        <f>'на выход'!D212</f>
        <v>405</v>
      </c>
      <c r="D10" s="78">
        <f>'на выход'!D215</f>
        <v>100</v>
      </c>
      <c r="E10" s="78">
        <f>'на выход'!D225</f>
        <v>650</v>
      </c>
      <c r="F10" s="78">
        <v>260</v>
      </c>
      <c r="G10" s="78">
        <f>'на выход'!D237</f>
        <v>400</v>
      </c>
    </row>
    <row r="11" spans="2:7" ht="18.75">
      <c r="B11" s="77">
        <v>7</v>
      </c>
      <c r="C11" s="78">
        <f>'на выход'!D252</f>
        <v>335</v>
      </c>
      <c r="D11" s="78">
        <f>'на выход'!D255</f>
        <v>100</v>
      </c>
      <c r="E11" s="78">
        <f>'на выход'!D264</f>
        <v>608</v>
      </c>
      <c r="F11" s="78">
        <f>'на выход'!D268</f>
        <v>195</v>
      </c>
      <c r="G11" s="78">
        <f>'на выход'!D276</f>
        <v>460</v>
      </c>
    </row>
    <row r="12" spans="2:7" ht="18.75">
      <c r="B12" s="77">
        <v>8</v>
      </c>
      <c r="C12" s="78">
        <f>'на выход'!D292</f>
        <v>410</v>
      </c>
      <c r="D12" s="78">
        <f>'на выход'!D295</f>
        <v>150</v>
      </c>
      <c r="E12" s="78">
        <f>'на выход'!D304</f>
        <v>584</v>
      </c>
      <c r="F12" s="78">
        <f>'на выход'!D308</f>
        <v>205</v>
      </c>
      <c r="G12" s="78">
        <f>'на выход'!D315</f>
        <v>400</v>
      </c>
    </row>
    <row r="13" spans="2:7" ht="18.75">
      <c r="B13" s="77">
        <v>9</v>
      </c>
      <c r="C13" s="78">
        <f>'на выход'!D330</f>
        <v>337</v>
      </c>
      <c r="D13" s="78">
        <f>'на выход'!D333</f>
        <v>100</v>
      </c>
      <c r="E13" s="78">
        <f>'на выход'!D342</f>
        <v>610</v>
      </c>
      <c r="F13" s="78">
        <f>'на выход'!D346</f>
        <v>230</v>
      </c>
      <c r="G13" s="78">
        <f>'на выход'!D354</f>
        <v>425</v>
      </c>
    </row>
    <row r="14" spans="2:7" ht="18.75">
      <c r="B14" s="77">
        <v>10</v>
      </c>
      <c r="C14" s="78">
        <f>'на выход'!D370</f>
        <v>410</v>
      </c>
      <c r="D14" s="78">
        <f>'на выход'!D373</f>
        <v>150</v>
      </c>
      <c r="E14" s="78">
        <f>'на выход'!D382</f>
        <v>650</v>
      </c>
      <c r="F14" s="78">
        <f>'на выход'!D386</f>
        <v>210</v>
      </c>
      <c r="G14" s="78">
        <f>'на выход'!D392</f>
        <v>305</v>
      </c>
    </row>
    <row r="15" spans="2:7" ht="18.75">
      <c r="B15" s="79" t="s">
        <v>78</v>
      </c>
      <c r="C15" s="80">
        <v>350</v>
      </c>
      <c r="D15" s="80">
        <v>100</v>
      </c>
      <c r="E15" s="89">
        <v>450</v>
      </c>
      <c r="F15" s="80">
        <v>200</v>
      </c>
      <c r="G15" s="89">
        <v>400</v>
      </c>
    </row>
    <row r="16" spans="2:7" ht="18.75">
      <c r="B16" s="76" t="s">
        <v>79</v>
      </c>
      <c r="C16" s="81">
        <f>(C5+C6+C7+C8+C9+C10+C11+C12+C13+C14)/10</f>
        <v>377.1</v>
      </c>
      <c r="D16" s="81">
        <f>(D5+D6+D7+D8+D9+D10+D11+D12+D13+D14)/10</f>
        <v>125</v>
      </c>
      <c r="E16" s="81">
        <f>(E5+E6+E7+E8+E9+E10+E11+E12+E13+E14)/10</f>
        <v>613.29999999999995</v>
      </c>
      <c r="F16" s="81">
        <f>(F5+F6+F7+F8+F9+F10+F11+F12+F13+F14)/10</f>
        <v>225</v>
      </c>
      <c r="G16" s="90">
        <f>(G5+G6+G7+G8+G9+G10+G11+G12+G13+G14)/10</f>
        <v>422.8</v>
      </c>
    </row>
  </sheetData>
  <mergeCells count="1">
    <mergeCell ref="B2:G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A13" sqref="A13"/>
    </sheetView>
  </sheetViews>
  <sheetFormatPr defaultColWidth="9.140625" defaultRowHeight="18.75"/>
  <cols>
    <col min="1" max="1" width="141.7109375" style="10" customWidth="1"/>
    <col min="2" max="16384" width="9.140625" style="10"/>
  </cols>
  <sheetData>
    <row r="1" spans="1:1">
      <c r="A1" s="9" t="s">
        <v>48</v>
      </c>
    </row>
    <row r="2" spans="1:1" s="14" customFormat="1" ht="33">
      <c r="A2" s="13" t="s">
        <v>362</v>
      </c>
    </row>
    <row r="3" spans="1:1" s="14" customFormat="1" ht="33">
      <c r="A3" s="13" t="s">
        <v>363</v>
      </c>
    </row>
    <row r="4" spans="1:1" s="14" customFormat="1" ht="33">
      <c r="A4" s="13" t="s">
        <v>364</v>
      </c>
    </row>
    <row r="5" spans="1:1" s="14" customFormat="1" ht="16.5">
      <c r="A5" s="13" t="s">
        <v>366</v>
      </c>
    </row>
    <row r="6" spans="1:1" s="14" customFormat="1" ht="33">
      <c r="A6" s="13" t="s">
        <v>140</v>
      </c>
    </row>
    <row r="7" spans="1:1" s="14" customFormat="1" ht="49.5">
      <c r="A7" s="179" t="s">
        <v>365</v>
      </c>
    </row>
    <row r="8" spans="1:1">
      <c r="A8" s="12"/>
    </row>
    <row r="9" spans="1:1">
      <c r="A9" s="11" t="s">
        <v>359</v>
      </c>
    </row>
    <row r="10" spans="1:1" ht="37.5">
      <c r="A10" s="178" t="s">
        <v>360</v>
      </c>
    </row>
    <row r="11" spans="1:1" ht="49.5">
      <c r="A11" s="179" t="s">
        <v>361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25"/>
  <sheetViews>
    <sheetView workbookViewId="0">
      <selection activeCell="M20" sqref="M20"/>
    </sheetView>
  </sheetViews>
  <sheetFormatPr defaultColWidth="9.140625" defaultRowHeight="15"/>
  <cols>
    <col min="1" max="1" width="36.28515625" style="21" customWidth="1"/>
    <col min="2" max="6" width="9.140625" style="21"/>
    <col min="7" max="8" width="10.7109375" style="21" customWidth="1"/>
    <col min="9" max="9" width="9.5703125" style="21" customWidth="1"/>
    <col min="10" max="16384" width="9.140625" style="21"/>
  </cols>
  <sheetData>
    <row r="2" spans="1:10">
      <c r="A2" s="26" t="s">
        <v>64</v>
      </c>
    </row>
    <row r="3" spans="1:10" ht="15.75">
      <c r="A3" s="23"/>
      <c r="B3" s="23"/>
      <c r="C3" s="217" t="s">
        <v>63</v>
      </c>
      <c r="D3" s="217"/>
      <c r="E3" s="217" t="s">
        <v>50</v>
      </c>
      <c r="F3" s="217"/>
      <c r="G3" s="217" t="s">
        <v>51</v>
      </c>
      <c r="H3" s="217"/>
      <c r="I3" s="217" t="s">
        <v>52</v>
      </c>
      <c r="J3" s="217"/>
    </row>
    <row r="4" spans="1:10" ht="15.75">
      <c r="A4" s="23"/>
      <c r="B4" s="23"/>
      <c r="C4" s="24" t="s">
        <v>57</v>
      </c>
      <c r="D4" s="24" t="s">
        <v>58</v>
      </c>
      <c r="E4" s="24" t="s">
        <v>57</v>
      </c>
      <c r="F4" s="24" t="s">
        <v>58</v>
      </c>
      <c r="G4" s="24" t="s">
        <v>57</v>
      </c>
      <c r="H4" s="24" t="s">
        <v>58</v>
      </c>
      <c r="I4" s="24" t="s">
        <v>57</v>
      </c>
      <c r="J4" s="24" t="s">
        <v>58</v>
      </c>
    </row>
    <row r="5" spans="1:10" ht="15.75">
      <c r="A5" s="23" t="s">
        <v>53</v>
      </c>
      <c r="B5" s="23" t="s">
        <v>56</v>
      </c>
      <c r="C5" s="23">
        <f>77*20/100</f>
        <v>15.4</v>
      </c>
      <c r="D5" s="23">
        <f>77*25/100</f>
        <v>19.25</v>
      </c>
      <c r="E5" s="23">
        <f>79*20/100</f>
        <v>15.8</v>
      </c>
      <c r="F5" s="23">
        <f>79*25/100</f>
        <v>19.75</v>
      </c>
      <c r="G5" s="23">
        <f>335*20/100</f>
        <v>67</v>
      </c>
      <c r="H5" s="23">
        <f>335*25/100</f>
        <v>83.75</v>
      </c>
      <c r="I5" s="23">
        <f>2350*20/100</f>
        <v>470</v>
      </c>
      <c r="J5" s="23">
        <f>2350*25/100</f>
        <v>587.5</v>
      </c>
    </row>
    <row r="6" spans="1:10" ht="15.75">
      <c r="A6" s="23" t="s">
        <v>54</v>
      </c>
      <c r="B6" s="23" t="s">
        <v>59</v>
      </c>
      <c r="C6" s="23">
        <f>77*30/100</f>
        <v>23.1</v>
      </c>
      <c r="D6" s="23">
        <f>77*35/100</f>
        <v>26.95</v>
      </c>
      <c r="E6" s="23">
        <f>79*30/100</f>
        <v>23.7</v>
      </c>
      <c r="F6" s="23">
        <f>79*35/100</f>
        <v>27.65</v>
      </c>
      <c r="G6" s="23">
        <f>335*30/100</f>
        <v>100.5</v>
      </c>
      <c r="H6" s="23">
        <f>335*35/100</f>
        <v>117.25</v>
      </c>
      <c r="I6" s="23">
        <f>2350*30/100</f>
        <v>705</v>
      </c>
      <c r="J6" s="23">
        <f>2350*35/100</f>
        <v>822.5</v>
      </c>
    </row>
    <row r="7" spans="1:10" ht="15.75">
      <c r="A7" s="23" t="s">
        <v>55</v>
      </c>
      <c r="B7" s="23" t="s">
        <v>60</v>
      </c>
      <c r="C7" s="23">
        <f>77*10/100</f>
        <v>7.7</v>
      </c>
      <c r="D7" s="23">
        <f>77*15/100</f>
        <v>11.55</v>
      </c>
      <c r="E7" s="23">
        <f>79*10/100</f>
        <v>7.9</v>
      </c>
      <c r="F7" s="23">
        <f>79*15/100</f>
        <v>11.85</v>
      </c>
      <c r="G7" s="23">
        <f>335*10/100</f>
        <v>33.5</v>
      </c>
      <c r="H7" s="23">
        <f>335*15/100</f>
        <v>50.25</v>
      </c>
      <c r="I7" s="23">
        <f>2350*10/100</f>
        <v>235</v>
      </c>
      <c r="J7" s="23">
        <f>2350*15/100</f>
        <v>352.5</v>
      </c>
    </row>
    <row r="8" spans="1:10" ht="15.75">
      <c r="A8" s="23" t="s">
        <v>61</v>
      </c>
      <c r="B8" s="23" t="s">
        <v>62</v>
      </c>
      <c r="C8" s="23">
        <f>SUM(C5:C7)</f>
        <v>46.2</v>
      </c>
      <c r="D8" s="23">
        <f t="shared" ref="D8:J8" si="0">SUM(D5:D7)</f>
        <v>57.75</v>
      </c>
      <c r="E8" s="23">
        <f t="shared" si="0"/>
        <v>47.4</v>
      </c>
      <c r="F8" s="23">
        <f t="shared" si="0"/>
        <v>59.25</v>
      </c>
      <c r="G8" s="23">
        <f t="shared" si="0"/>
        <v>201</v>
      </c>
      <c r="H8" s="23">
        <f t="shared" si="0"/>
        <v>251.25</v>
      </c>
      <c r="I8" s="23">
        <f t="shared" si="0"/>
        <v>1410</v>
      </c>
      <c r="J8" s="23">
        <f t="shared" si="0"/>
        <v>1762.5</v>
      </c>
    </row>
    <row r="9" spans="1:10">
      <c r="C9" s="22"/>
    </row>
    <row r="10" spans="1:10">
      <c r="A10" s="21" t="s">
        <v>65</v>
      </c>
    </row>
    <row r="11" spans="1:10" ht="15.75">
      <c r="A11" s="23"/>
      <c r="B11" s="23"/>
      <c r="C11" s="217" t="s">
        <v>63</v>
      </c>
      <c r="D11" s="217"/>
      <c r="E11" s="217" t="s">
        <v>50</v>
      </c>
      <c r="F11" s="217"/>
      <c r="G11" s="217" t="s">
        <v>51</v>
      </c>
      <c r="H11" s="217"/>
      <c r="I11" s="217" t="s">
        <v>52</v>
      </c>
      <c r="J11" s="217"/>
    </row>
    <row r="12" spans="1:10" ht="15.75">
      <c r="A12" s="23"/>
      <c r="B12" s="23"/>
      <c r="C12" s="25" t="s">
        <v>57</v>
      </c>
      <c r="D12" s="25" t="s">
        <v>58</v>
      </c>
      <c r="E12" s="25" t="s">
        <v>57</v>
      </c>
      <c r="F12" s="25" t="s">
        <v>58</v>
      </c>
      <c r="G12" s="25" t="s">
        <v>57</v>
      </c>
      <c r="H12" s="25" t="s">
        <v>58</v>
      </c>
      <c r="I12" s="25" t="s">
        <v>57</v>
      </c>
      <c r="J12" s="25" t="s">
        <v>58</v>
      </c>
    </row>
    <row r="13" spans="1:10" ht="15.75">
      <c r="A13" s="23" t="s">
        <v>53</v>
      </c>
      <c r="B13" s="23" t="s">
        <v>56</v>
      </c>
      <c r="C13" s="23">
        <f>90*20/100</f>
        <v>18</v>
      </c>
      <c r="D13" s="23">
        <f>90*25/100</f>
        <v>22.5</v>
      </c>
      <c r="E13" s="23">
        <f>92*20/100</f>
        <v>18.399999999999999</v>
      </c>
      <c r="F13" s="23">
        <f>92*25/100</f>
        <v>23</v>
      </c>
      <c r="G13" s="23">
        <f>383*20/100</f>
        <v>76.599999999999994</v>
      </c>
      <c r="H13" s="23">
        <f>383*25/100</f>
        <v>95.75</v>
      </c>
      <c r="I13" s="23">
        <f>2720*20/100</f>
        <v>544</v>
      </c>
      <c r="J13" s="23">
        <f>2350*25/100</f>
        <v>587.5</v>
      </c>
    </row>
    <row r="14" spans="1:10" ht="15.75">
      <c r="A14" s="23" t="s">
        <v>54</v>
      </c>
      <c r="B14" s="23" t="s">
        <v>59</v>
      </c>
      <c r="C14" s="23">
        <f>90*30/100</f>
        <v>27</v>
      </c>
      <c r="D14" s="23">
        <f>90*35/100</f>
        <v>31.5</v>
      </c>
      <c r="E14" s="23">
        <f>92*30/100</f>
        <v>27.6</v>
      </c>
      <c r="F14" s="23">
        <f>92*35/100</f>
        <v>32.200000000000003</v>
      </c>
      <c r="G14" s="23">
        <f>383*30/100</f>
        <v>114.9</v>
      </c>
      <c r="H14" s="23">
        <f>383*35/100</f>
        <v>134.05000000000001</v>
      </c>
      <c r="I14" s="23">
        <f>2720*30/100</f>
        <v>816</v>
      </c>
      <c r="J14" s="23">
        <f>2350*35/100</f>
        <v>822.5</v>
      </c>
    </row>
    <row r="15" spans="1:10" ht="15.75">
      <c r="A15" s="23" t="s">
        <v>55</v>
      </c>
      <c r="B15" s="23" t="s">
        <v>60</v>
      </c>
      <c r="C15" s="23">
        <f>90*10/100</f>
        <v>9</v>
      </c>
      <c r="D15" s="23">
        <f>90*15/100</f>
        <v>13.5</v>
      </c>
      <c r="E15" s="23">
        <f>92*10/100</f>
        <v>9.1999999999999993</v>
      </c>
      <c r="F15" s="23">
        <f>92*15/100</f>
        <v>13.8</v>
      </c>
      <c r="G15" s="23">
        <f>383*10/100</f>
        <v>38.299999999999997</v>
      </c>
      <c r="H15" s="23">
        <f>383*15/100</f>
        <v>57.45</v>
      </c>
      <c r="I15" s="23">
        <f>2720*10/100</f>
        <v>272</v>
      </c>
      <c r="J15" s="23">
        <f>2720*15/100</f>
        <v>408</v>
      </c>
    </row>
    <row r="16" spans="1:10" ht="15.75">
      <c r="A16" s="23" t="s">
        <v>61</v>
      </c>
      <c r="B16" s="23" t="s">
        <v>62</v>
      </c>
      <c r="C16" s="23">
        <f>SUM(C13:C15)</f>
        <v>54</v>
      </c>
      <c r="D16" s="23">
        <f t="shared" ref="D16:J16" si="1">SUM(D13:D15)</f>
        <v>67.5</v>
      </c>
      <c r="E16" s="23">
        <f t="shared" si="1"/>
        <v>55.2</v>
      </c>
      <c r="F16" s="23">
        <f t="shared" si="1"/>
        <v>69</v>
      </c>
      <c r="G16" s="23">
        <f t="shared" si="1"/>
        <v>229.8</v>
      </c>
      <c r="H16" s="23">
        <f t="shared" si="1"/>
        <v>287.25</v>
      </c>
      <c r="I16" s="23">
        <f t="shared" si="1"/>
        <v>1632</v>
      </c>
      <c r="J16" s="23">
        <f t="shared" si="1"/>
        <v>1818</v>
      </c>
    </row>
    <row r="17" spans="1:10">
      <c r="C17" s="21">
        <v>60.42</v>
      </c>
      <c r="E17" s="21">
        <v>63.65</v>
      </c>
      <c r="G17" s="21">
        <v>245.7</v>
      </c>
      <c r="I17" s="21">
        <v>1827.17</v>
      </c>
    </row>
    <row r="20" spans="1:10" ht="83.25" customHeight="1">
      <c r="A20" s="218" t="s">
        <v>66</v>
      </c>
      <c r="B20" s="218"/>
      <c r="C20" s="218"/>
      <c r="D20" s="218"/>
      <c r="E20" s="218"/>
      <c r="F20" s="218"/>
      <c r="G20" s="218"/>
      <c r="H20" s="218"/>
      <c r="I20" s="218"/>
      <c r="J20" s="218"/>
    </row>
    <row r="21" spans="1:10" ht="15.75">
      <c r="A21" s="219"/>
      <c r="B21" s="220"/>
      <c r="C21" s="217" t="s">
        <v>63</v>
      </c>
      <c r="D21" s="217"/>
      <c r="E21" s="217" t="s">
        <v>50</v>
      </c>
      <c r="F21" s="217"/>
      <c r="G21" s="217" t="s">
        <v>51</v>
      </c>
      <c r="H21" s="217"/>
      <c r="I21" s="217" t="s">
        <v>52</v>
      </c>
      <c r="J21" s="217"/>
    </row>
    <row r="22" spans="1:10" ht="15.75">
      <c r="A22" s="217"/>
      <c r="B22" s="217"/>
      <c r="C22" s="25" t="s">
        <v>57</v>
      </c>
      <c r="D22" s="25" t="s">
        <v>58</v>
      </c>
      <c r="E22" s="25" t="s">
        <v>57</v>
      </c>
      <c r="F22" s="25" t="s">
        <v>58</v>
      </c>
      <c r="G22" s="25" t="s">
        <v>57</v>
      </c>
      <c r="H22" s="25" t="s">
        <v>58</v>
      </c>
      <c r="I22" s="25" t="s">
        <v>57</v>
      </c>
      <c r="J22" s="25" t="s">
        <v>58</v>
      </c>
    </row>
    <row r="23" spans="1:10" ht="45" customHeight="1">
      <c r="A23" s="222" t="s">
        <v>68</v>
      </c>
      <c r="B23" s="222"/>
      <c r="C23" s="27">
        <v>46.2</v>
      </c>
      <c r="D23" s="27">
        <v>57.75</v>
      </c>
      <c r="E23" s="27">
        <v>47.4</v>
      </c>
      <c r="F23" s="27">
        <v>59.25</v>
      </c>
      <c r="G23" s="27">
        <v>201</v>
      </c>
      <c r="H23" s="27">
        <v>251.25</v>
      </c>
      <c r="I23" s="27">
        <v>1410</v>
      </c>
      <c r="J23" s="27">
        <v>1762.5</v>
      </c>
    </row>
    <row r="24" spans="1:10" ht="45" customHeight="1">
      <c r="A24" s="222" t="s">
        <v>69</v>
      </c>
      <c r="B24" s="222"/>
      <c r="C24" s="27">
        <v>54</v>
      </c>
      <c r="D24" s="27">
        <v>67.5</v>
      </c>
      <c r="E24" s="27">
        <v>55.2</v>
      </c>
      <c r="F24" s="27">
        <v>69</v>
      </c>
      <c r="G24" s="27">
        <v>229.8</v>
      </c>
      <c r="H24" s="27">
        <v>287.25</v>
      </c>
      <c r="I24" s="27">
        <v>1632</v>
      </c>
      <c r="J24" s="27">
        <v>1818</v>
      </c>
    </row>
    <row r="25" spans="1:10" ht="45" customHeight="1">
      <c r="A25" s="222" t="s">
        <v>67</v>
      </c>
      <c r="B25" s="222"/>
      <c r="C25" s="221">
        <v>60.42</v>
      </c>
      <c r="D25" s="221"/>
      <c r="E25" s="221">
        <v>63.65</v>
      </c>
      <c r="F25" s="221"/>
      <c r="G25" s="221">
        <v>245.7</v>
      </c>
      <c r="H25" s="221"/>
      <c r="I25" s="221">
        <v>1827.17</v>
      </c>
      <c r="J25" s="221"/>
    </row>
  </sheetData>
  <mergeCells count="22">
    <mergeCell ref="E25:F25"/>
    <mergeCell ref="G25:H25"/>
    <mergeCell ref="I25:J25"/>
    <mergeCell ref="A22:B22"/>
    <mergeCell ref="A23:B23"/>
    <mergeCell ref="A24:B24"/>
    <mergeCell ref="A25:B25"/>
    <mergeCell ref="C25:D25"/>
    <mergeCell ref="A20:J20"/>
    <mergeCell ref="C21:D21"/>
    <mergeCell ref="E21:F21"/>
    <mergeCell ref="G21:H21"/>
    <mergeCell ref="I21:J21"/>
    <mergeCell ref="A21:B21"/>
    <mergeCell ref="G3:H3"/>
    <mergeCell ref="E3:F3"/>
    <mergeCell ref="C3:D3"/>
    <mergeCell ref="I3:J3"/>
    <mergeCell ref="C11:D11"/>
    <mergeCell ref="E11:F11"/>
    <mergeCell ref="G11:H11"/>
    <mergeCell ref="I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Титул</vt:lpstr>
      <vt:lpstr>на выход</vt:lpstr>
      <vt:lpstr>сводки БЖУ</vt:lpstr>
      <vt:lpstr>сводки по продуктам</vt:lpstr>
      <vt:lpstr>обьемы по приемам пищи</vt:lpstr>
      <vt:lpstr>библиография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Пользователь</cp:lastModifiedBy>
  <cp:lastPrinted>2023-08-11T07:13:51Z</cp:lastPrinted>
  <dcterms:created xsi:type="dcterms:W3CDTF">2020-10-25T16:40:18Z</dcterms:created>
  <dcterms:modified xsi:type="dcterms:W3CDTF">2023-09-18T14:13:14Z</dcterms:modified>
</cp:coreProperties>
</file>